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os Fijos" sheetId="1" r:id="rId4"/>
    <sheet state="visible" name="Costo de Financiamiento" sheetId="2" r:id="rId5"/>
    <sheet state="visible" name="Costos de ventas" sheetId="3" r:id="rId6"/>
    <sheet state="visible" name="Depreciación e Ingresos" sheetId="4" r:id="rId7"/>
    <sheet state="visible" name="Gastos de Administración" sheetId="5" r:id="rId8"/>
    <sheet state="visible" name="Flujo de Fondos" sheetId="6" r:id="rId9"/>
  </sheets>
  <definedNames/>
  <calcPr/>
</workbook>
</file>

<file path=xl/sharedStrings.xml><?xml version="1.0" encoding="utf-8"?>
<sst xmlns="http://schemas.openxmlformats.org/spreadsheetml/2006/main" count="130" uniqueCount="103">
  <si>
    <t>Rentabilidad alquiler de local TecnoPortatil</t>
  </si>
  <si>
    <t>Inversiones del proyecto</t>
  </si>
  <si>
    <t>ACTIVOS FIJOS</t>
  </si>
  <si>
    <t>Concepto</t>
  </si>
  <si>
    <t>Valor</t>
  </si>
  <si>
    <t>Total a invertir</t>
  </si>
  <si>
    <t>Activos adquiridos</t>
  </si>
  <si>
    <t xml:space="preserve">Capital propio </t>
  </si>
  <si>
    <t>Computadora de Escritorio</t>
  </si>
  <si>
    <t>Préstamo bancario</t>
  </si>
  <si>
    <t>Laptop</t>
  </si>
  <si>
    <t>Escritorio</t>
  </si>
  <si>
    <t>Estante</t>
  </si>
  <si>
    <t>Motocicleta</t>
  </si>
  <si>
    <t>Silla de trabajo</t>
  </si>
  <si>
    <t>Activos por adquirir</t>
  </si>
  <si>
    <t>Vitrina</t>
  </si>
  <si>
    <t>Total activos adquiridos</t>
  </si>
  <si>
    <t>Total activos por adquirir</t>
  </si>
  <si>
    <t>Total</t>
  </si>
  <si>
    <t>COSTO DE FINANCIAMIENTO</t>
  </si>
  <si>
    <t>Año</t>
  </si>
  <si>
    <t>Saldo Inicial</t>
  </si>
  <si>
    <t>Cuota anual fija</t>
  </si>
  <si>
    <t>Intereses</t>
  </si>
  <si>
    <t>Amortización</t>
  </si>
  <si>
    <t>Saldo Final</t>
  </si>
  <si>
    <t>TOTAL</t>
  </si>
  <si>
    <t>Tasa de Interés anual</t>
  </si>
  <si>
    <t>Capital Prestado</t>
  </si>
  <si>
    <t>Factor (A/P)</t>
  </si>
  <si>
    <t>Cuota Anual</t>
  </si>
  <si>
    <t>Costos de ventas</t>
  </si>
  <si>
    <t>Incremento Anual</t>
  </si>
  <si>
    <t>Tipo de costo</t>
  </si>
  <si>
    <t>Importación audífonos</t>
  </si>
  <si>
    <t>Directo</t>
  </si>
  <si>
    <t>Mantenimiento equipo de reparto</t>
  </si>
  <si>
    <t>Indirecto</t>
  </si>
  <si>
    <t>Mantenimiento equipo y mobiliario</t>
  </si>
  <si>
    <t>Gasolina</t>
  </si>
  <si>
    <t>-</t>
  </si>
  <si>
    <t>Publicidad en Facebook</t>
  </si>
  <si>
    <t>Total de Costos de Producción</t>
  </si>
  <si>
    <t>PRESUPUESTO PARA DEPRECIACIÓN Y PROGRAMA DE INGRESOS</t>
  </si>
  <si>
    <t>Inversión</t>
  </si>
  <si>
    <t>Años</t>
  </si>
  <si>
    <t>Valor de salvamento</t>
  </si>
  <si>
    <t>Depreciación</t>
  </si>
  <si>
    <t>L = 15%</t>
  </si>
  <si>
    <t>Valor L</t>
  </si>
  <si>
    <t>Computadora de Escritorio (por adquirir)</t>
  </si>
  <si>
    <t>L = 12%</t>
  </si>
  <si>
    <t>Silla de trabajo (por adquirir)</t>
  </si>
  <si>
    <t>Escritorio (por adquirir)</t>
  </si>
  <si>
    <t>Vitrina (por adquirir)</t>
  </si>
  <si>
    <t>Total depreciación</t>
  </si>
  <si>
    <t>Programa de ingresos</t>
  </si>
  <si>
    <t>Incremento anual ventas</t>
  </si>
  <si>
    <t>Precio de venta</t>
  </si>
  <si>
    <t>Cantidad de venta anuales</t>
  </si>
  <si>
    <t>Audífonos F9</t>
  </si>
  <si>
    <t>Audífonos Y30</t>
  </si>
  <si>
    <t>Audífonos Buds Pro</t>
  </si>
  <si>
    <t>Audífonos Buds +</t>
  </si>
  <si>
    <t>Audífonos AirPods Pro</t>
  </si>
  <si>
    <t>Audífonos F9 2021</t>
  </si>
  <si>
    <t>Audífonos cableados</t>
  </si>
  <si>
    <t>Audífonos TWS</t>
  </si>
  <si>
    <t>Total unidades</t>
  </si>
  <si>
    <t>1307</t>
  </si>
  <si>
    <t>1437</t>
  </si>
  <si>
    <t>1580</t>
  </si>
  <si>
    <t>(Números redondeados)</t>
  </si>
  <si>
    <t>Total ingresos</t>
  </si>
  <si>
    <t>GASTOS DE ADMINISTRACIÓN</t>
  </si>
  <si>
    <t>Alquiler de local</t>
  </si>
  <si>
    <t>Internet</t>
  </si>
  <si>
    <t>Luz</t>
  </si>
  <si>
    <t>Agua potable</t>
  </si>
  <si>
    <t>Salarios</t>
  </si>
  <si>
    <t>Total de Gastos de Administración</t>
  </si>
  <si>
    <t>FLUJO DE FONDOS</t>
  </si>
  <si>
    <t>Ingresos por Venta</t>
  </si>
  <si>
    <t>(-) Gastos de venta</t>
  </si>
  <si>
    <t>(=) Utilidad de Operación</t>
  </si>
  <si>
    <t xml:space="preserve">(-) Gastos Administrativos </t>
  </si>
  <si>
    <t>Tasa de Impuesto</t>
  </si>
  <si>
    <t>(-) Gastos Financieros</t>
  </si>
  <si>
    <t xml:space="preserve">(-) Depreciación </t>
  </si>
  <si>
    <t>TMAR</t>
  </si>
  <si>
    <t>(=) Utilidad antes de Impuesto</t>
  </si>
  <si>
    <t>(-) Impuestos (20%)</t>
  </si>
  <si>
    <t>VPN</t>
  </si>
  <si>
    <t>(=) Utilidad despues de Impuesto</t>
  </si>
  <si>
    <t>(+) Depreciación</t>
  </si>
  <si>
    <t>TIR</t>
  </si>
  <si>
    <t>(-) Amortización</t>
  </si>
  <si>
    <t>(+) Valor de Rescate</t>
  </si>
  <si>
    <t xml:space="preserve"> </t>
  </si>
  <si>
    <t>Flujo Neto de Efectivo</t>
  </si>
  <si>
    <t>Conclusión</t>
  </si>
  <si>
    <t>En este caso también obtuvimos como resultado que nuestra TIR es mayor que nuestra TMAR y nuestro VPN al ser mayor a 0, por ende la inversión también se vuelve rentable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</si>
</sst>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[$$]#,##0.00"/>
  </numFmts>
  <fonts count="9">
    <font>
      <sz val="10.0"/>
      <color rgb="FF000000"/>
      <name val="Arial"/>
    </font>
    <font>
      <b/>
      <sz val="12.0"/>
      <color rgb="FFFFFFFF"/>
      <name val="Arial"/>
    </font>
    <font/>
    <font>
      <b/>
      <sz val="12.0"/>
      <color theme="1"/>
      <name val="Arial"/>
    </font>
    <font>
      <b/>
      <sz val="12.0"/>
      <color rgb="FF000000"/>
      <name val="Arial"/>
    </font>
    <font>
      <b/>
      <sz val="12.0"/>
      <color theme="0"/>
      <name val="Arial"/>
    </font>
    <font>
      <color theme="1"/>
      <name val="Arial"/>
    </font>
    <font>
      <sz val="12.0"/>
      <color theme="1"/>
      <name val="Arial"/>
    </font>
    <font>
      <sz val="12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45818E"/>
        <bgColor rgb="FF45818E"/>
      </patternFill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0" fillId="3" fontId="3" numFmtId="0" xfId="0" applyAlignment="1" applyFill="1" applyFont="1">
      <alignment horizontal="center" readingOrder="0"/>
    </xf>
    <xf borderId="1" fillId="4" fontId="4" numFmtId="0" xfId="0" applyAlignment="1" applyBorder="1" applyFill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5" fillId="2" fontId="5" numFmtId="0" xfId="0" applyAlignment="1" applyBorder="1" applyFont="1">
      <alignment readingOrder="0"/>
    </xf>
    <xf borderId="5" fillId="2" fontId="5" numFmtId="164" xfId="0" applyAlignment="1" applyBorder="1" applyFont="1" applyNumberFormat="1">
      <alignment readingOrder="0"/>
    </xf>
    <xf borderId="0" fillId="0" fontId="6" numFmtId="0" xfId="0" applyAlignment="1" applyFont="1">
      <alignment readingOrder="0"/>
    </xf>
    <xf borderId="1" fillId="4" fontId="3" numFmtId="0" xfId="0" applyAlignment="1" applyBorder="1" applyFont="1">
      <alignment horizontal="center" readingOrder="0"/>
    </xf>
    <xf borderId="5" fillId="2" fontId="1" numFmtId="0" xfId="0" applyAlignment="1" applyBorder="1" applyFont="1">
      <alignment horizontal="left" readingOrder="0"/>
    </xf>
    <xf borderId="5" fillId="2" fontId="1" numFmtId="164" xfId="0" applyAlignment="1" applyBorder="1" applyFont="1" applyNumberFormat="1">
      <alignment horizontal="center" readingOrder="0"/>
    </xf>
    <xf borderId="0" fillId="0" fontId="7" numFmtId="9" xfId="0" applyAlignment="1" applyFont="1" applyNumberFormat="1">
      <alignment readingOrder="0"/>
    </xf>
    <xf borderId="6" fillId="5" fontId="7" numFmtId="0" xfId="0" applyAlignment="1" applyBorder="1" applyFill="1" applyFont="1">
      <alignment horizontal="left" readingOrder="0"/>
    </xf>
    <xf borderId="7" fillId="5" fontId="7" numFmtId="164" xfId="0" applyAlignment="1" applyBorder="1" applyFont="1" applyNumberFormat="1">
      <alignment horizontal="center" readingOrder="0"/>
    </xf>
    <xf borderId="6" fillId="2" fontId="1" numFmtId="0" xfId="0" applyAlignment="1" applyBorder="1" applyFont="1">
      <alignment horizontal="left" readingOrder="0"/>
    </xf>
    <xf borderId="7" fillId="2" fontId="1" numFmtId="164" xfId="0" applyAlignment="1" applyBorder="1" applyFont="1" applyNumberFormat="1">
      <alignment horizontal="center"/>
    </xf>
    <xf borderId="8" fillId="2" fontId="1" numFmtId="0" xfId="0" applyAlignment="1" applyBorder="1" applyFont="1">
      <alignment horizontal="center" readingOrder="0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4" fillId="0" fontId="2" numFmtId="0" xfId="0" applyBorder="1" applyFont="1"/>
    <xf borderId="13" fillId="2" fontId="1" numFmtId="0" xfId="0" applyAlignment="1" applyBorder="1" applyFont="1">
      <alignment horizontal="center" readingOrder="0"/>
    </xf>
    <xf borderId="5" fillId="2" fontId="5" numFmtId="0" xfId="0" applyAlignment="1" applyBorder="1" applyFont="1">
      <alignment horizontal="center" readingOrder="0"/>
    </xf>
    <xf borderId="5" fillId="4" fontId="3" numFmtId="0" xfId="0" applyAlignment="1" applyBorder="1" applyFont="1">
      <alignment horizontal="center" readingOrder="0"/>
    </xf>
    <xf borderId="5" fillId="5" fontId="7" numFmtId="164" xfId="0" applyAlignment="1" applyBorder="1" applyFont="1" applyNumberFormat="1">
      <alignment horizontal="center" readingOrder="0"/>
    </xf>
    <xf borderId="5" fillId="5" fontId="7" numFmtId="164" xfId="0" applyAlignment="1" applyBorder="1" applyFont="1" applyNumberFormat="1">
      <alignment horizontal="center"/>
    </xf>
    <xf borderId="0" fillId="2" fontId="5" numFmtId="0" xfId="0" applyAlignment="1" applyFont="1">
      <alignment horizontal="center" readingOrder="0"/>
    </xf>
    <xf borderId="5" fillId="2" fontId="5" numFmtId="164" xfId="0" applyAlignment="1" applyBorder="1" applyFont="1" applyNumberFormat="1">
      <alignment horizontal="center"/>
    </xf>
    <xf borderId="5" fillId="2" fontId="5" numFmtId="0" xfId="0" applyAlignment="1" applyBorder="1" applyFont="1">
      <alignment horizontal="center"/>
    </xf>
    <xf borderId="5" fillId="2" fontId="1" numFmtId="0" xfId="0" applyAlignment="1" applyBorder="1" applyFont="1">
      <alignment readingOrder="0"/>
    </xf>
    <xf borderId="5" fillId="5" fontId="7" numFmtId="9" xfId="0" applyAlignment="1" applyBorder="1" applyFont="1" applyNumberFormat="1">
      <alignment readingOrder="0"/>
    </xf>
    <xf borderId="5" fillId="5" fontId="7" numFmtId="164" xfId="0" applyAlignment="1" applyBorder="1" applyFont="1" applyNumberFormat="1">
      <alignment readingOrder="0"/>
    </xf>
    <xf borderId="13" fillId="2" fontId="1" numFmtId="0" xfId="0" applyAlignment="1" applyBorder="1" applyFont="1">
      <alignment readingOrder="0"/>
    </xf>
    <xf borderId="13" fillId="5" fontId="7" numFmtId="4" xfId="0" applyBorder="1" applyFont="1" applyNumberFormat="1"/>
    <xf borderId="13" fillId="5" fontId="7" numFmtId="164" xfId="0" applyAlignment="1" applyBorder="1" applyFont="1" applyNumberFormat="1">
      <alignment readingOrder="0"/>
    </xf>
    <xf borderId="9" fillId="0" fontId="6" numFmtId="0" xfId="0" applyBorder="1" applyFont="1"/>
    <xf borderId="0" fillId="0" fontId="7" numFmtId="0" xfId="0" applyFont="1"/>
    <xf borderId="14" fillId="0" fontId="2" numFmtId="0" xfId="0" applyBorder="1" applyFont="1"/>
    <xf borderId="5" fillId="2" fontId="1" numFmtId="0" xfId="0" applyAlignment="1" applyBorder="1" applyFont="1">
      <alignment horizontal="center" readingOrder="0"/>
    </xf>
    <xf borderId="1" fillId="4" fontId="3" numFmtId="0" xfId="0" applyAlignment="1" applyBorder="1" applyFont="1">
      <alignment horizontal="left" readingOrder="0"/>
    </xf>
    <xf borderId="1" fillId="5" fontId="7" numFmtId="9" xfId="0" applyAlignment="1" applyBorder="1" applyFont="1" applyNumberFormat="1">
      <alignment horizontal="center" readingOrder="0"/>
    </xf>
    <xf borderId="1" fillId="5" fontId="7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left" readingOrder="0"/>
    </xf>
    <xf borderId="5" fillId="2" fontId="1" numFmtId="164" xfId="0" applyAlignment="1" applyBorder="1" applyFont="1" applyNumberFormat="1">
      <alignment horizontal="center"/>
    </xf>
    <xf borderId="1" fillId="2" fontId="1" numFmtId="164" xfId="0" applyAlignment="1" applyBorder="1" applyFont="1" applyNumberFormat="1">
      <alignment horizontal="center"/>
    </xf>
    <xf borderId="0" fillId="0" fontId="3" numFmtId="0" xfId="0" applyAlignment="1" applyFont="1">
      <alignment horizontal="center" readingOrder="0"/>
    </xf>
    <xf borderId="0" fillId="0" fontId="8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  <xf borderId="0" fillId="0" fontId="7" numFmtId="164" xfId="0" applyAlignment="1" applyFont="1" applyNumberFormat="1">
      <alignment horizontal="center" readingOrder="0"/>
    </xf>
    <xf borderId="0" fillId="0" fontId="7" numFmtId="9" xfId="0" applyAlignment="1" applyFont="1" applyNumberFormat="1">
      <alignment horizontal="center" readingOrder="0"/>
    </xf>
    <xf borderId="0" fillId="0" fontId="7" numFmtId="0" xfId="0" applyAlignment="1" applyFont="1">
      <alignment readingOrder="0"/>
    </xf>
    <xf borderId="13" fillId="2" fontId="1" numFmtId="0" xfId="0" applyAlignment="1" applyBorder="1" applyFont="1">
      <alignment readingOrder="0" vertical="center"/>
    </xf>
    <xf borderId="3" fillId="0" fontId="2" numFmtId="0" xfId="0" applyBorder="1" applyFont="1"/>
    <xf borderId="6" fillId="0" fontId="2" numFmtId="0" xfId="0" applyBorder="1" applyFont="1"/>
    <xf borderId="5" fillId="4" fontId="7" numFmtId="0" xfId="0" applyBorder="1" applyFont="1"/>
    <xf borderId="5" fillId="4" fontId="3" numFmtId="164" xfId="0" applyAlignment="1" applyBorder="1" applyFont="1" applyNumberFormat="1">
      <alignment horizontal="center" readingOrder="0"/>
    </xf>
    <xf borderId="5" fillId="4" fontId="7" numFmtId="164" xfId="0" applyAlignment="1" applyBorder="1" applyFont="1" applyNumberFormat="1">
      <alignment horizontal="center"/>
    </xf>
    <xf borderId="5" fillId="5" fontId="7" numFmtId="0" xfId="0" applyAlignment="1" applyBorder="1" applyFont="1">
      <alignment readingOrder="0"/>
    </xf>
    <xf borderId="0" fillId="2" fontId="1" numFmtId="0" xfId="0" applyAlignment="1" applyFont="1">
      <alignment horizontal="center" readingOrder="0"/>
    </xf>
    <xf borderId="0" fillId="5" fontId="7" numFmtId="164" xfId="0" applyAlignment="1" applyFont="1" applyNumberFormat="1">
      <alignment horizontal="center" readingOrder="0"/>
    </xf>
    <xf borderId="0" fillId="4" fontId="3" numFmtId="0" xfId="0" applyAlignment="1" applyFont="1">
      <alignment horizontal="center" readingOrder="0"/>
    </xf>
    <xf borderId="5" fillId="4" fontId="7" numFmtId="0" xfId="0" applyAlignment="1" applyBorder="1" applyFont="1">
      <alignment readingOrder="0"/>
    </xf>
    <xf borderId="0" fillId="5" fontId="7" numFmtId="164" xfId="0" applyAlignment="1" applyFont="1" applyNumberFormat="1">
      <alignment horizontal="center"/>
    </xf>
    <xf borderId="5" fillId="5" fontId="7" numFmtId="0" xfId="0" applyAlignment="1" applyBorder="1" applyFont="1">
      <alignment horizontal="left" readingOrder="0"/>
    </xf>
    <xf borderId="13" fillId="5" fontId="7" numFmtId="9" xfId="0" applyAlignment="1" applyBorder="1" applyFont="1" applyNumberFormat="1">
      <alignment horizontal="center" readingOrder="0" vertical="center"/>
    </xf>
    <xf borderId="5" fillId="5" fontId="7" numFmtId="0" xfId="0" applyAlignment="1" applyBorder="1" applyFont="1">
      <alignment horizontal="center" readingOrder="0"/>
    </xf>
    <xf borderId="5" fillId="2" fontId="1" numFmtId="49" xfId="0" applyAlignment="1" applyBorder="1" applyFont="1" applyNumberFormat="1">
      <alignment horizontal="center"/>
    </xf>
    <xf borderId="5" fillId="2" fontId="1" numFmtId="49" xfId="0" applyAlignment="1" applyBorder="1" applyFont="1" applyNumberFormat="1">
      <alignment horizontal="center" readingOrder="0"/>
    </xf>
    <xf borderId="5" fillId="5" fontId="8" numFmtId="0" xfId="0" applyAlignment="1" applyBorder="1" applyFont="1">
      <alignment horizontal="left" readingOrder="0"/>
    </xf>
    <xf borderId="0" fillId="2" fontId="1" numFmtId="0" xfId="0" applyAlignment="1" applyFont="1">
      <alignment horizontal="center" readingOrder="0" vertical="center"/>
    </xf>
    <xf borderId="5" fillId="5" fontId="7" numFmtId="165" xfId="0" applyAlignment="1" applyBorder="1" applyFont="1" applyNumberFormat="1">
      <alignment horizontal="center" readingOrder="0"/>
    </xf>
    <xf borderId="5" fillId="4" fontId="3" numFmtId="0" xfId="0" applyAlignment="1" applyBorder="1" applyFont="1">
      <alignment readingOrder="0"/>
    </xf>
    <xf borderId="5" fillId="4" fontId="3" numFmtId="165" xfId="0" applyAlignment="1" applyBorder="1" applyFont="1" applyNumberFormat="1">
      <alignment horizontal="center" readingOrder="0"/>
    </xf>
    <xf borderId="5" fillId="5" fontId="7" numFmtId="165" xfId="0" applyAlignment="1" applyBorder="1" applyFont="1" applyNumberFormat="1">
      <alignment horizontal="center"/>
    </xf>
    <xf borderId="5" fillId="2" fontId="5" numFmtId="0" xfId="0" applyAlignment="1" applyBorder="1" applyFont="1">
      <alignment horizontal="center" readingOrder="0" vertical="center"/>
    </xf>
    <xf borderId="5" fillId="0" fontId="7" numFmtId="9" xfId="0" applyAlignment="1" applyBorder="1" applyFont="1" applyNumberFormat="1">
      <alignment horizontal="center" readingOrder="0"/>
    </xf>
    <xf borderId="5" fillId="4" fontId="3" numFmtId="165" xfId="0" applyAlignment="1" applyBorder="1" applyFont="1" applyNumberFormat="1">
      <alignment horizontal="center"/>
    </xf>
    <xf borderId="5" fillId="0" fontId="7" numFmtId="165" xfId="0" applyBorder="1" applyFont="1" applyNumberFormat="1"/>
    <xf borderId="5" fillId="0" fontId="7" numFmtId="10" xfId="0" applyBorder="1" applyFont="1" applyNumberFormat="1"/>
    <xf borderId="5" fillId="2" fontId="1" numFmtId="165" xfId="0" applyAlignment="1" applyBorder="1" applyFont="1" applyNumberFormat="1">
      <alignment horizontal="center"/>
    </xf>
    <xf borderId="0" fillId="2" fontId="1" numFmtId="0" xfId="0" applyAlignment="1" applyFont="1">
      <alignment readingOrder="0"/>
    </xf>
    <xf borderId="0" fillId="0" fontId="7" numFmtId="164" xfId="0" applyAlignment="1" applyFont="1" applyNumberFormat="1">
      <alignment readingOrder="0"/>
    </xf>
    <xf borderId="0" fillId="5" fontId="7" numFmtId="0" xfId="0" applyAlignment="1" applyFont="1">
      <alignment horizontal="left" readingOrder="0" shrinkToFit="0" vertical="top" wrapText="1"/>
    </xf>
    <xf borderId="0" fillId="3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Activos Fijos</a:t>
            </a:r>
          </a:p>
        </c:rich>
      </c:tx>
      <c:overlay val="0"/>
    </c:title>
    <c:view3D>
      <c:rotX val="50"/>
      <c:perspective val="0"/>
    </c:view3D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D9EAD3"/>
              </a:solidFill>
            </c:spPr>
          </c:dPt>
          <c:dPt>
            <c:idx val="1"/>
            <c:spPr>
              <a:solidFill>
                <a:srgbClr val="45818E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'Activos Fijos'!$B$19:$B$20</c:f>
            </c:strRef>
          </c:cat>
          <c:val>
            <c:numRef>
              <c:f>'Activos Fijos'!$C$19:$C$20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3F3F3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Activos cubiertos con Préstamo</a:t>
            </a:r>
          </a:p>
        </c:rich>
      </c:tx>
      <c:overlay val="0"/>
    </c:title>
    <c:view3D>
      <c:rotX val="50"/>
      <c:perspective val="0"/>
    </c:view3D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45818E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'Activos Fijos'!$B$21</c:f>
            </c:strRef>
          </c:cat>
          <c:val>
            <c:numRef>
              <c:f>'Activos Fijos'!$C$21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3F3F3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'Costo de Financiamiento'!$E$5:$E$6</c:f>
            </c:strRef>
          </c:tx>
          <c:spPr>
            <a:solidFill>
              <a:srgbClr val="76A5AF"/>
            </a:solidFill>
            <a:ln cmpd="sng">
              <a:solidFill>
                <a:srgbClr val="000000">
                  <a:alpha val="100000"/>
                </a:srgbClr>
              </a:solidFill>
              <a:prstDash val="solid"/>
            </a:ln>
          </c:spPr>
          <c:val>
            <c:numRef>
              <c:f>'Costo de Financiamiento'!$E$7:$E$11</c:f>
              <c:numCache/>
            </c:numRef>
          </c:val>
        </c:ser>
        <c:ser>
          <c:idx val="1"/>
          <c:order val="1"/>
          <c:tx>
            <c:strRef>
              <c:f>'Costo de Financiamiento'!$F$5:$F$6</c:f>
            </c:strRef>
          </c:tx>
          <c:spPr>
            <a:solidFill>
              <a:srgbClr val="45818E"/>
            </a:solidFill>
            <a:ln cmpd="sng">
              <a:solidFill>
                <a:srgbClr val="000000">
                  <a:alpha val="100000"/>
                </a:srgbClr>
              </a:solidFill>
              <a:prstDash val="solid"/>
            </a:ln>
          </c:spPr>
          <c:val>
            <c:numRef>
              <c:f>'Costo de Financiamiento'!$F$7:$F$11</c:f>
              <c:numCache/>
            </c:numRef>
          </c:val>
        </c:ser>
        <c:axId val="1744251863"/>
        <c:axId val="2126990022"/>
      </c:bar3DChart>
      <c:catAx>
        <c:axId val="17442518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26990022"/>
      </c:catAx>
      <c:valAx>
        <c:axId val="2126990022"/>
        <c:scaling>
          <c:orientation val="minMax"/>
        </c:scaling>
        <c:delete val="0"/>
        <c:axPos val="l"/>
        <c:majorGridlines>
          <c:spPr>
            <a:ln>
              <a:solidFill>
                <a:srgbClr val="A2C4C9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4425186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3F3F3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571500</xdr:colOff>
      <xdr:row>8</xdr:row>
      <xdr:rowOff>219075</xdr:rowOff>
    </xdr:from>
    <xdr:ext cx="3876675" cy="28098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781050</xdr:colOff>
      <xdr:row>8</xdr:row>
      <xdr:rowOff>219075</xdr:rowOff>
    </xdr:from>
    <xdr:ext cx="3638550" cy="225742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152400</xdr:colOff>
      <xdr:row>1</xdr:row>
      <xdr:rowOff>180975</xdr:rowOff>
    </xdr:from>
    <xdr:ext cx="4800600" cy="29622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4.43" defaultRowHeight="15.75"/>
  <cols>
    <col customWidth="1" min="2" max="2" width="51.57"/>
    <col customWidth="1" min="3" max="3" width="24.29"/>
    <col customWidth="1" min="5" max="5" width="43.71"/>
  </cols>
  <sheetData>
    <row r="3">
      <c r="B3" s="1" t="s">
        <v>0</v>
      </c>
      <c r="C3" s="2"/>
    </row>
    <row r="4">
      <c r="B4" s="1" t="s">
        <v>1</v>
      </c>
      <c r="C4" s="2"/>
      <c r="G4" s="3"/>
      <c r="H4" s="3"/>
    </row>
    <row r="5">
      <c r="B5" s="4" t="s">
        <v>2</v>
      </c>
      <c r="C5" s="2"/>
    </row>
    <row r="6">
      <c r="B6" s="5" t="s">
        <v>3</v>
      </c>
      <c r="C6" s="6" t="s">
        <v>4</v>
      </c>
      <c r="E6" s="7" t="s">
        <v>5</v>
      </c>
      <c r="F6" s="8">
        <v>18200.0</v>
      </c>
      <c r="H6" s="9"/>
    </row>
    <row r="7">
      <c r="B7" s="10" t="s">
        <v>6</v>
      </c>
      <c r="C7" s="2"/>
      <c r="E7" s="11" t="s">
        <v>7</v>
      </c>
      <c r="F7" s="12">
        <v>14200.0</v>
      </c>
      <c r="G7" s="13">
        <v>0.78</v>
      </c>
      <c r="H7" s="9"/>
    </row>
    <row r="8">
      <c r="B8" s="14" t="s">
        <v>8</v>
      </c>
      <c r="C8" s="15">
        <v>780.0</v>
      </c>
      <c r="E8" s="11" t="s">
        <v>9</v>
      </c>
      <c r="F8" s="12">
        <v>4000.0</v>
      </c>
      <c r="G8" s="13">
        <v>0.22</v>
      </c>
    </row>
    <row r="9">
      <c r="B9" s="14" t="s">
        <v>10</v>
      </c>
      <c r="C9" s="15">
        <v>450.0</v>
      </c>
    </row>
    <row r="10">
      <c r="B10" s="14" t="s">
        <v>11</v>
      </c>
      <c r="C10" s="15">
        <v>150.0</v>
      </c>
    </row>
    <row r="11">
      <c r="B11" s="14" t="s">
        <v>12</v>
      </c>
      <c r="C11" s="15">
        <v>32.0</v>
      </c>
    </row>
    <row r="12">
      <c r="B12" s="14" t="s">
        <v>13</v>
      </c>
      <c r="C12" s="15">
        <v>1249.99</v>
      </c>
      <c r="F12" s="9"/>
    </row>
    <row r="13">
      <c r="B13" s="14" t="s">
        <v>14</v>
      </c>
      <c r="C13" s="15">
        <v>99.0</v>
      </c>
    </row>
    <row r="14">
      <c r="B14" s="10" t="s">
        <v>15</v>
      </c>
      <c r="C14" s="2"/>
    </row>
    <row r="15">
      <c r="B15" s="14" t="s">
        <v>8</v>
      </c>
      <c r="C15" s="15">
        <v>790.15</v>
      </c>
    </row>
    <row r="16">
      <c r="B16" s="14" t="s">
        <v>14</v>
      </c>
      <c r="C16" s="15">
        <v>99.0</v>
      </c>
    </row>
    <row r="17">
      <c r="B17" s="14" t="s">
        <v>11</v>
      </c>
      <c r="C17" s="15">
        <v>140.0</v>
      </c>
    </row>
    <row r="18">
      <c r="B18" s="14" t="s">
        <v>16</v>
      </c>
      <c r="C18" s="15">
        <v>180.0</v>
      </c>
    </row>
    <row r="19">
      <c r="B19" s="16" t="s">
        <v>17</v>
      </c>
      <c r="C19" s="17">
        <f>SUM(C8:C13)</f>
        <v>2760.99</v>
      </c>
    </row>
    <row r="20">
      <c r="B20" s="16" t="s">
        <v>18</v>
      </c>
      <c r="C20" s="17">
        <f>SUM(C15:C18)</f>
        <v>1209.15</v>
      </c>
    </row>
    <row r="21">
      <c r="B21" s="16" t="s">
        <v>19</v>
      </c>
      <c r="C21" s="17">
        <f>SUM(C19:C20)</f>
        <v>3970.14</v>
      </c>
    </row>
  </sheetData>
  <mergeCells count="5">
    <mergeCell ref="B3:C3"/>
    <mergeCell ref="B4:C4"/>
    <mergeCell ref="B5:C5"/>
    <mergeCell ref="B7:C7"/>
    <mergeCell ref="B14:C1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6A5AF"/>
    <outlinePr summaryBelow="0" summaryRight="0"/>
  </sheetPr>
  <sheetViews>
    <sheetView workbookViewId="0"/>
  </sheetViews>
  <sheetFormatPr customHeight="1" defaultColWidth="14.43" defaultRowHeight="15.75"/>
  <cols>
    <col customWidth="1" min="2" max="2" width="33.43"/>
    <col customWidth="1" min="3" max="3" width="19.57"/>
    <col customWidth="1" min="4" max="4" width="18.86"/>
    <col customWidth="1" min="5" max="5" width="18.57"/>
    <col customWidth="1" min="6" max="6" width="18.0"/>
  </cols>
  <sheetData>
    <row r="3">
      <c r="B3" s="18" t="s">
        <v>20</v>
      </c>
      <c r="C3" s="19"/>
      <c r="D3" s="19"/>
      <c r="E3" s="19"/>
      <c r="F3" s="19"/>
      <c r="G3" s="20"/>
    </row>
    <row r="4" ht="7.5" customHeight="1">
      <c r="B4" s="21"/>
      <c r="C4" s="22"/>
      <c r="D4" s="22"/>
      <c r="E4" s="22"/>
      <c r="F4" s="22"/>
      <c r="G4" s="23"/>
    </row>
    <row r="5">
      <c r="B5" s="24" t="s">
        <v>21</v>
      </c>
      <c r="C5" s="24" t="s">
        <v>22</v>
      </c>
      <c r="D5" s="24" t="s">
        <v>23</v>
      </c>
      <c r="E5" s="24" t="s">
        <v>24</v>
      </c>
      <c r="F5" s="24" t="s">
        <v>25</v>
      </c>
      <c r="G5" s="25" t="s">
        <v>26</v>
      </c>
    </row>
    <row r="6">
      <c r="B6" s="26">
        <v>0.0</v>
      </c>
      <c r="C6" s="27">
        <v>4000.0</v>
      </c>
      <c r="D6" s="27"/>
      <c r="E6" s="27"/>
      <c r="F6" s="27"/>
      <c r="G6" s="28">
        <f>C6</f>
        <v>4000</v>
      </c>
    </row>
    <row r="7">
      <c r="B7" s="26">
        <v>1.0</v>
      </c>
      <c r="C7" s="28">
        <f t="shared" ref="C7:C11" si="1">G6</f>
        <v>4000</v>
      </c>
      <c r="D7" s="28">
        <f>C17</f>
        <v>1055.189923</v>
      </c>
      <c r="E7" s="28">
        <f t="shared" ref="E7:E11" si="2">C7*$C$14</f>
        <v>400</v>
      </c>
      <c r="F7" s="28">
        <f t="shared" ref="F7:F8" si="3">(D7-E7)</f>
        <v>655.1899232</v>
      </c>
      <c r="G7" s="28">
        <f t="shared" ref="G7:G9" si="4">+C7-F7</f>
        <v>3344.810077</v>
      </c>
    </row>
    <row r="8">
      <c r="B8" s="26">
        <v>2.0</v>
      </c>
      <c r="C8" s="28">
        <f t="shared" si="1"/>
        <v>3344.810077</v>
      </c>
      <c r="D8" s="28">
        <f>C17</f>
        <v>1055.189923</v>
      </c>
      <c r="E8" s="28">
        <f t="shared" si="2"/>
        <v>334.4810077</v>
      </c>
      <c r="F8" s="28">
        <f t="shared" si="3"/>
        <v>720.7089155</v>
      </c>
      <c r="G8" s="28">
        <f t="shared" si="4"/>
        <v>2624.101161</v>
      </c>
    </row>
    <row r="9">
      <c r="B9" s="26">
        <v>3.0</v>
      </c>
      <c r="C9" s="28">
        <f t="shared" si="1"/>
        <v>2624.101161</v>
      </c>
      <c r="D9" s="28">
        <f>C17</f>
        <v>1055.189923</v>
      </c>
      <c r="E9" s="28">
        <f t="shared" si="2"/>
        <v>262.4101161</v>
      </c>
      <c r="F9" s="28">
        <f t="shared" ref="F9:F11" si="5">(D8-E9)</f>
        <v>792.779807</v>
      </c>
      <c r="G9" s="28">
        <f t="shared" si="4"/>
        <v>1831.321354</v>
      </c>
    </row>
    <row r="10">
      <c r="B10" s="26">
        <v>4.0</v>
      </c>
      <c r="C10" s="28">
        <f t="shared" si="1"/>
        <v>1831.321354</v>
      </c>
      <c r="D10" s="28">
        <f>C17</f>
        <v>1055.189923</v>
      </c>
      <c r="E10" s="28">
        <f t="shared" si="2"/>
        <v>183.1321354</v>
      </c>
      <c r="F10" s="28">
        <f t="shared" si="5"/>
        <v>872.0577878</v>
      </c>
      <c r="G10" s="28">
        <f t="shared" ref="G10:G11" si="6">G9-F10</f>
        <v>959.2635665</v>
      </c>
    </row>
    <row r="11">
      <c r="B11" s="26">
        <v>5.0</v>
      </c>
      <c r="C11" s="28">
        <f t="shared" si="1"/>
        <v>959.2635665</v>
      </c>
      <c r="D11" s="28">
        <f>C17</f>
        <v>1055.189923</v>
      </c>
      <c r="E11" s="28">
        <f t="shared" si="2"/>
        <v>95.92635665</v>
      </c>
      <c r="F11" s="28">
        <f t="shared" si="5"/>
        <v>959.2635665</v>
      </c>
      <c r="G11" s="28">
        <f t="shared" si="6"/>
        <v>0</v>
      </c>
    </row>
    <row r="12">
      <c r="B12" s="29" t="s">
        <v>27</v>
      </c>
      <c r="C12" s="30">
        <f t="shared" ref="C12:F12" si="7">SUM(C6:C11)</f>
        <v>16759.49616</v>
      </c>
      <c r="D12" s="30">
        <f t="shared" si="7"/>
        <v>5275.949616</v>
      </c>
      <c r="E12" s="30">
        <f t="shared" si="7"/>
        <v>1275.949616</v>
      </c>
      <c r="F12" s="30">
        <f t="shared" si="7"/>
        <v>4000</v>
      </c>
      <c r="G12" s="31"/>
    </row>
    <row r="14">
      <c r="B14" s="32" t="s">
        <v>28</v>
      </c>
      <c r="C14" s="33">
        <v>0.1</v>
      </c>
    </row>
    <row r="15">
      <c r="B15" s="32" t="s">
        <v>29</v>
      </c>
      <c r="C15" s="34">
        <v>4000.0</v>
      </c>
    </row>
    <row r="16">
      <c r="B16" s="35" t="s">
        <v>30</v>
      </c>
      <c r="C16" s="36">
        <f>PMT(C14,B11,-1)</f>
        <v>0.2637974808</v>
      </c>
    </row>
    <row r="17">
      <c r="B17" s="35" t="s">
        <v>31</v>
      </c>
      <c r="C17" s="37">
        <f>C15*C16</f>
        <v>1055.189923</v>
      </c>
    </row>
    <row r="18">
      <c r="B18" s="38"/>
      <c r="C18" s="38"/>
    </row>
  </sheetData>
  <mergeCells count="1">
    <mergeCell ref="B3:G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75"/>
  <cols>
    <col customWidth="1" min="2" max="2" width="19.14"/>
    <col customWidth="1" min="3" max="3" width="23.14"/>
    <col customWidth="1" min="11" max="11" width="16.86"/>
  </cols>
  <sheetData>
    <row r="1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>
      <c r="A3" s="39"/>
      <c r="B3" s="1" t="s">
        <v>32</v>
      </c>
      <c r="C3" s="40"/>
      <c r="D3" s="40"/>
      <c r="E3" s="40"/>
      <c r="F3" s="40"/>
      <c r="G3" s="40"/>
      <c r="H3" s="40"/>
      <c r="I3" s="40"/>
      <c r="J3" s="40"/>
      <c r="K3" s="2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>
      <c r="A4" s="39"/>
      <c r="B4" s="1" t="s">
        <v>3</v>
      </c>
      <c r="C4" s="2"/>
      <c r="D4" s="1" t="s">
        <v>33</v>
      </c>
      <c r="E4" s="2"/>
      <c r="F4" s="41">
        <v>1.0</v>
      </c>
      <c r="G4" s="41">
        <v>2.0</v>
      </c>
      <c r="H4" s="41">
        <v>3.0</v>
      </c>
      <c r="I4" s="41">
        <v>4.0</v>
      </c>
      <c r="J4" s="41">
        <v>5.0</v>
      </c>
      <c r="K4" s="41" t="s">
        <v>34</v>
      </c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>
      <c r="A5" s="39"/>
      <c r="B5" s="42" t="s">
        <v>35</v>
      </c>
      <c r="C5" s="2"/>
      <c r="D5" s="43">
        <v>0.03</v>
      </c>
      <c r="E5" s="2"/>
      <c r="F5" s="27">
        <v>8618.4</v>
      </c>
      <c r="G5" s="28">
        <f t="shared" ref="G5:J5" si="1">F5+(F5*0.03)</f>
        <v>8876.952</v>
      </c>
      <c r="H5" s="28">
        <f t="shared" si="1"/>
        <v>9143.26056</v>
      </c>
      <c r="I5" s="28">
        <f t="shared" si="1"/>
        <v>9417.558377</v>
      </c>
      <c r="J5" s="28">
        <f t="shared" si="1"/>
        <v>9700.085128</v>
      </c>
      <c r="K5" s="26" t="s">
        <v>36</v>
      </c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>
      <c r="A6" s="39"/>
      <c r="B6" s="42" t="s">
        <v>37</v>
      </c>
      <c r="C6" s="2"/>
      <c r="D6" s="43">
        <v>0.05</v>
      </c>
      <c r="E6" s="2"/>
      <c r="F6" s="27">
        <v>100.0</v>
      </c>
      <c r="G6" s="27">
        <f t="shared" ref="G6:J6" si="2">F6+(F6*0.05)</f>
        <v>105</v>
      </c>
      <c r="H6" s="27">
        <f t="shared" si="2"/>
        <v>110.25</v>
      </c>
      <c r="I6" s="27">
        <f t="shared" si="2"/>
        <v>115.7625</v>
      </c>
      <c r="J6" s="27">
        <f t="shared" si="2"/>
        <v>121.550625</v>
      </c>
      <c r="K6" s="26" t="s">
        <v>38</v>
      </c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>
      <c r="A7" s="39"/>
      <c r="B7" s="42" t="s">
        <v>39</v>
      </c>
      <c r="C7" s="2"/>
      <c r="D7" s="43">
        <v>0.02</v>
      </c>
      <c r="E7" s="2"/>
      <c r="F7" s="27">
        <v>100.0</v>
      </c>
      <c r="G7" s="27">
        <f t="shared" ref="G7:J7" si="3">F7+(F7*0.02)</f>
        <v>102</v>
      </c>
      <c r="H7" s="27">
        <f t="shared" si="3"/>
        <v>104.04</v>
      </c>
      <c r="I7" s="27">
        <f t="shared" si="3"/>
        <v>106.1208</v>
      </c>
      <c r="J7" s="27">
        <f t="shared" si="3"/>
        <v>108.243216</v>
      </c>
      <c r="K7" s="26" t="s">
        <v>38</v>
      </c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>
      <c r="A8" s="39"/>
      <c r="B8" s="42" t="s">
        <v>40</v>
      </c>
      <c r="C8" s="2"/>
      <c r="D8" s="44" t="s">
        <v>41</v>
      </c>
      <c r="E8" s="2"/>
      <c r="F8" s="27">
        <v>240.0</v>
      </c>
      <c r="G8" s="27">
        <v>240.0</v>
      </c>
      <c r="H8" s="27">
        <v>240.0</v>
      </c>
      <c r="I8" s="27">
        <v>240.0</v>
      </c>
      <c r="J8" s="27">
        <v>240.0</v>
      </c>
      <c r="K8" s="26" t="s">
        <v>36</v>
      </c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>
      <c r="A9" s="39"/>
      <c r="B9" s="42" t="s">
        <v>42</v>
      </c>
      <c r="C9" s="2"/>
      <c r="D9" s="43">
        <v>0.1</v>
      </c>
      <c r="E9" s="2"/>
      <c r="F9" s="27">
        <v>180.0</v>
      </c>
      <c r="G9" s="28">
        <f t="shared" ref="G9:J9" si="4">F9+(F9*0.1)</f>
        <v>198</v>
      </c>
      <c r="H9" s="28">
        <f t="shared" si="4"/>
        <v>217.8</v>
      </c>
      <c r="I9" s="28">
        <f t="shared" si="4"/>
        <v>239.58</v>
      </c>
      <c r="J9" s="28">
        <f t="shared" si="4"/>
        <v>263.538</v>
      </c>
      <c r="K9" s="26" t="s">
        <v>36</v>
      </c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>
      <c r="A10" s="39"/>
      <c r="B10" s="45" t="s">
        <v>43</v>
      </c>
      <c r="C10" s="40"/>
      <c r="D10" s="40"/>
      <c r="E10" s="2"/>
      <c r="F10" s="46">
        <f t="shared" ref="F10:J10" si="5">SUM(F5:F9)</f>
        <v>9238.4</v>
      </c>
      <c r="G10" s="46">
        <f t="shared" si="5"/>
        <v>9521.952</v>
      </c>
      <c r="H10" s="46">
        <f t="shared" si="5"/>
        <v>9815.35056</v>
      </c>
      <c r="I10" s="46">
        <f t="shared" si="5"/>
        <v>10119.02168</v>
      </c>
      <c r="J10" s="47">
        <f t="shared" si="5"/>
        <v>10433.41697</v>
      </c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>
      <c r="A11" s="39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>
      <c r="A14" s="39"/>
      <c r="B14" s="48"/>
      <c r="F14" s="39"/>
      <c r="H14" s="39"/>
      <c r="I14" s="39"/>
      <c r="J14" s="49"/>
      <c r="K14" s="50"/>
      <c r="L14" s="51"/>
      <c r="M14" s="51"/>
      <c r="N14" s="51"/>
      <c r="O14" s="51"/>
      <c r="P14" s="51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>
      <c r="A15" s="39"/>
      <c r="B15" s="39"/>
      <c r="F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>
      <c r="A16" s="39"/>
      <c r="B16" s="39"/>
      <c r="F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>
      <c r="A17" s="39"/>
      <c r="B17" s="39"/>
      <c r="F17" s="39"/>
      <c r="H17" s="39"/>
      <c r="I17" s="39"/>
      <c r="J17" s="49"/>
      <c r="K17" s="52"/>
      <c r="L17" s="51"/>
      <c r="M17" s="51"/>
      <c r="N17" s="51"/>
      <c r="O17" s="51"/>
      <c r="P17" s="51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>
      <c r="A18" s="39"/>
      <c r="B18" s="48"/>
      <c r="F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>
      <c r="A20" s="39"/>
      <c r="B20" s="39"/>
      <c r="C20" s="39"/>
      <c r="D20" s="39"/>
      <c r="E20" s="39"/>
      <c r="F20" s="39"/>
      <c r="G20" s="39"/>
      <c r="H20" s="39"/>
      <c r="I20" s="39"/>
      <c r="J20" s="53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>
      <c r="A21" s="39"/>
      <c r="B21" s="39"/>
      <c r="C21" s="39"/>
      <c r="D21" s="39"/>
      <c r="E21" s="39"/>
      <c r="F21" s="39"/>
      <c r="G21" s="39"/>
      <c r="H21" s="39"/>
      <c r="I21" s="39"/>
      <c r="J21" s="53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r="999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  <row r="1000">
      <c r="A1000" s="39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</row>
    <row r="1001">
      <c r="A1001" s="39"/>
      <c r="B1001" s="39"/>
      <c r="C1001" s="39"/>
      <c r="D1001" s="39"/>
      <c r="E1001" s="39"/>
      <c r="F1001" s="39"/>
      <c r="G1001" s="39"/>
      <c r="H1001" s="39"/>
      <c r="I1001" s="39"/>
      <c r="J1001" s="39"/>
      <c r="K1001" s="39"/>
      <c r="L1001" s="39"/>
      <c r="M1001" s="39"/>
      <c r="N1001" s="39"/>
      <c r="O1001" s="39"/>
      <c r="P1001" s="39"/>
      <c r="Q1001" s="39"/>
      <c r="R1001" s="39"/>
      <c r="S1001" s="39"/>
      <c r="T1001" s="39"/>
      <c r="U1001" s="39"/>
      <c r="V1001" s="39"/>
      <c r="W1001" s="39"/>
      <c r="X1001" s="39"/>
      <c r="Y1001" s="39"/>
      <c r="Z1001" s="39"/>
    </row>
    <row r="1002">
      <c r="A1002" s="39"/>
      <c r="B1002" s="39"/>
      <c r="C1002" s="39"/>
      <c r="D1002" s="39"/>
      <c r="E1002" s="39"/>
      <c r="F1002" s="39"/>
      <c r="G1002" s="39"/>
      <c r="H1002" s="39"/>
      <c r="I1002" s="39"/>
      <c r="J1002" s="39"/>
      <c r="K1002" s="39"/>
      <c r="L1002" s="39"/>
      <c r="M1002" s="39"/>
      <c r="N1002" s="39"/>
      <c r="O1002" s="39"/>
      <c r="P1002" s="39"/>
      <c r="Q1002" s="39"/>
      <c r="R1002" s="39"/>
      <c r="S1002" s="39"/>
      <c r="T1002" s="39"/>
      <c r="U1002" s="39"/>
      <c r="V1002" s="39"/>
      <c r="W1002" s="39"/>
      <c r="X1002" s="39"/>
      <c r="Y1002" s="39"/>
      <c r="Z1002" s="39"/>
    </row>
    <row r="1003">
      <c r="A1003" s="39"/>
      <c r="B1003" s="39"/>
      <c r="C1003" s="39"/>
      <c r="D1003" s="39"/>
      <c r="E1003" s="39"/>
      <c r="F1003" s="39"/>
      <c r="G1003" s="39"/>
      <c r="H1003" s="39"/>
      <c r="I1003" s="39"/>
      <c r="J1003" s="39"/>
      <c r="K1003" s="39"/>
      <c r="L1003" s="39"/>
      <c r="M1003" s="39"/>
      <c r="N1003" s="39"/>
      <c r="O1003" s="39"/>
      <c r="P1003" s="39"/>
      <c r="Q1003" s="39"/>
      <c r="R1003" s="39"/>
      <c r="S1003" s="39"/>
      <c r="T1003" s="39"/>
      <c r="U1003" s="39"/>
      <c r="V1003" s="39"/>
      <c r="W1003" s="39"/>
      <c r="X1003" s="39"/>
      <c r="Y1003" s="39"/>
      <c r="Z1003" s="39"/>
    </row>
    <row r="1004">
      <c r="A1004" s="39"/>
      <c r="B1004" s="39"/>
      <c r="C1004" s="39"/>
      <c r="D1004" s="39"/>
      <c r="E1004" s="39"/>
      <c r="F1004" s="39"/>
      <c r="G1004" s="39"/>
      <c r="H1004" s="39"/>
      <c r="I1004" s="39"/>
      <c r="J1004" s="39"/>
      <c r="K1004" s="39"/>
      <c r="L1004" s="39"/>
      <c r="M1004" s="39"/>
      <c r="N1004" s="39"/>
      <c r="O1004" s="39"/>
      <c r="P1004" s="39"/>
      <c r="Q1004" s="39"/>
      <c r="R1004" s="39"/>
      <c r="S1004" s="39"/>
      <c r="T1004" s="39"/>
      <c r="U1004" s="39"/>
      <c r="V1004" s="39"/>
      <c r="W1004" s="39"/>
      <c r="X1004" s="39"/>
      <c r="Y1004" s="39"/>
      <c r="Z1004" s="39"/>
    </row>
    <row r="1005">
      <c r="A1005" s="39"/>
      <c r="B1005" s="39"/>
      <c r="C1005" s="39"/>
      <c r="D1005" s="39"/>
      <c r="E1005" s="39"/>
      <c r="F1005" s="39"/>
      <c r="G1005" s="39"/>
      <c r="H1005" s="39"/>
      <c r="I1005" s="39"/>
      <c r="J1005" s="39"/>
      <c r="K1005" s="39"/>
      <c r="L1005" s="39"/>
      <c r="M1005" s="39"/>
      <c r="N1005" s="39"/>
      <c r="O1005" s="39"/>
      <c r="P1005" s="39"/>
      <c r="Q1005" s="39"/>
      <c r="R1005" s="39"/>
      <c r="S1005" s="39"/>
      <c r="T1005" s="39"/>
      <c r="U1005" s="39"/>
      <c r="V1005" s="39"/>
      <c r="W1005" s="39"/>
      <c r="X1005" s="39"/>
      <c r="Y1005" s="39"/>
      <c r="Z1005" s="39"/>
    </row>
  </sheetData>
  <mergeCells count="24">
    <mergeCell ref="B3:K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E10"/>
    <mergeCell ref="B17:E17"/>
    <mergeCell ref="B18:E18"/>
    <mergeCell ref="F18:G18"/>
    <mergeCell ref="B14:E14"/>
    <mergeCell ref="F14:G14"/>
    <mergeCell ref="B15:E15"/>
    <mergeCell ref="F15:G15"/>
    <mergeCell ref="B16:E16"/>
    <mergeCell ref="F16:G16"/>
    <mergeCell ref="F17:G1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5.71"/>
    <col customWidth="1" min="2" max="2" width="50.14"/>
    <col customWidth="1" min="3" max="3" width="28.0"/>
    <col customWidth="1" min="4" max="4" width="18.0"/>
    <col customWidth="1" min="9" max="9" width="23.29"/>
    <col customWidth="1" min="10" max="10" width="21.71"/>
    <col customWidth="1" min="11" max="11" width="28.71"/>
  </cols>
  <sheetData>
    <row r="2">
      <c r="B2" s="1" t="s">
        <v>44</v>
      </c>
      <c r="C2" s="40"/>
      <c r="D2" s="40"/>
      <c r="E2" s="40"/>
      <c r="F2" s="40"/>
      <c r="G2" s="40"/>
      <c r="H2" s="40"/>
      <c r="I2" s="2"/>
    </row>
    <row r="4">
      <c r="B4" s="24" t="s">
        <v>3</v>
      </c>
      <c r="C4" s="24" t="s">
        <v>45</v>
      </c>
      <c r="D4" s="1" t="s">
        <v>46</v>
      </c>
      <c r="E4" s="40"/>
      <c r="F4" s="40"/>
      <c r="G4" s="40"/>
      <c r="H4" s="2"/>
      <c r="I4" s="54" t="s">
        <v>47</v>
      </c>
    </row>
    <row r="5">
      <c r="B5" s="55"/>
      <c r="C5" s="55"/>
      <c r="D5" s="41">
        <v>1.0</v>
      </c>
      <c r="E5" s="41">
        <v>2.0</v>
      </c>
      <c r="F5" s="41">
        <v>3.0</v>
      </c>
      <c r="G5" s="41">
        <v>4.0</v>
      </c>
      <c r="H5" s="41">
        <v>5.0</v>
      </c>
      <c r="I5" s="56"/>
    </row>
    <row r="6">
      <c r="B6" s="1" t="s">
        <v>48</v>
      </c>
      <c r="C6" s="40"/>
      <c r="D6" s="40"/>
      <c r="E6" s="40"/>
      <c r="F6" s="40"/>
      <c r="G6" s="40"/>
      <c r="H6" s="2"/>
      <c r="I6" s="55"/>
    </row>
    <row r="7">
      <c r="B7" s="57"/>
      <c r="C7" s="58" t="s">
        <v>49</v>
      </c>
      <c r="D7" s="59"/>
      <c r="E7" s="59"/>
      <c r="F7" s="59"/>
      <c r="G7" s="59"/>
      <c r="H7" s="59"/>
      <c r="I7" s="59"/>
    </row>
    <row r="8">
      <c r="B8" s="60" t="s">
        <v>8</v>
      </c>
      <c r="C8" s="27">
        <v>780.0</v>
      </c>
      <c r="D8" s="28">
        <f t="shared" ref="D8:F8" si="1">SLN($C$8,$I$8,3)</f>
        <v>221</v>
      </c>
      <c r="E8" s="28">
        <f t="shared" si="1"/>
        <v>221</v>
      </c>
      <c r="F8" s="28">
        <f t="shared" si="1"/>
        <v>221</v>
      </c>
      <c r="G8" s="28"/>
      <c r="H8" s="28"/>
      <c r="I8" s="28">
        <f t="shared" ref="I8:I11" si="3">C8*0.15</f>
        <v>117</v>
      </c>
    </row>
    <row r="9">
      <c r="B9" s="60" t="s">
        <v>10</v>
      </c>
      <c r="C9" s="27">
        <v>450.0</v>
      </c>
      <c r="D9" s="28">
        <f t="shared" ref="D9:F9" si="2">SLN($C$9,$I$9,3)</f>
        <v>127.5</v>
      </c>
      <c r="E9" s="28">
        <f t="shared" si="2"/>
        <v>127.5</v>
      </c>
      <c r="F9" s="28">
        <f t="shared" si="2"/>
        <v>127.5</v>
      </c>
      <c r="G9" s="28"/>
      <c r="H9" s="28"/>
      <c r="I9" s="28">
        <f t="shared" si="3"/>
        <v>67.5</v>
      </c>
      <c r="K9" s="61" t="s">
        <v>50</v>
      </c>
      <c r="L9" s="29" t="s">
        <v>21</v>
      </c>
    </row>
    <row r="10">
      <c r="B10" s="60" t="s">
        <v>13</v>
      </c>
      <c r="C10" s="27">
        <v>1249.99</v>
      </c>
      <c r="D10" s="28">
        <f t="shared" ref="D10:H10" si="4">SLN($C$10,$I$10,5)</f>
        <v>212.4983</v>
      </c>
      <c r="E10" s="28">
        <f t="shared" si="4"/>
        <v>212.4983</v>
      </c>
      <c r="F10" s="28">
        <f t="shared" si="4"/>
        <v>212.4983</v>
      </c>
      <c r="G10" s="28">
        <f t="shared" si="4"/>
        <v>212.4983</v>
      </c>
      <c r="H10" s="28">
        <f t="shared" si="4"/>
        <v>212.4983</v>
      </c>
      <c r="I10" s="28">
        <f t="shared" si="3"/>
        <v>187.4985</v>
      </c>
      <c r="K10" s="62">
        <v>0.0</v>
      </c>
      <c r="L10" s="63">
        <v>0.0</v>
      </c>
    </row>
    <row r="11">
      <c r="B11" s="60" t="s">
        <v>51</v>
      </c>
      <c r="C11" s="27">
        <v>790.15</v>
      </c>
      <c r="D11" s="28">
        <f t="shared" ref="D11:F11" si="5">SLN($C$11,$I$11,3)</f>
        <v>223.8758333</v>
      </c>
      <c r="E11" s="28">
        <f t="shared" si="5"/>
        <v>223.8758333</v>
      </c>
      <c r="F11" s="28">
        <f t="shared" si="5"/>
        <v>223.8758333</v>
      </c>
      <c r="G11" s="28"/>
      <c r="H11" s="28"/>
      <c r="I11" s="28">
        <f t="shared" si="3"/>
        <v>118.5225</v>
      </c>
      <c r="K11" s="62">
        <v>0.0</v>
      </c>
      <c r="L11" s="63">
        <v>1.0</v>
      </c>
    </row>
    <row r="12">
      <c r="B12" s="64"/>
      <c r="C12" s="58" t="s">
        <v>52</v>
      </c>
      <c r="D12" s="59"/>
      <c r="E12" s="59"/>
      <c r="F12" s="59"/>
      <c r="G12" s="59"/>
      <c r="H12" s="59"/>
      <c r="I12" s="59"/>
      <c r="K12" s="62">
        <v>0.0</v>
      </c>
      <c r="L12" s="63">
        <v>2.0</v>
      </c>
    </row>
    <row r="13">
      <c r="B13" s="60" t="s">
        <v>11</v>
      </c>
      <c r="C13" s="27">
        <v>150.0</v>
      </c>
      <c r="D13" s="28">
        <f t="shared" ref="D13:H13" si="6">SLN($C$13,$I$13,5)</f>
        <v>26.4</v>
      </c>
      <c r="E13" s="28">
        <f t="shared" si="6"/>
        <v>26.4</v>
      </c>
      <c r="F13" s="28">
        <f t="shared" si="6"/>
        <v>26.4</v>
      </c>
      <c r="G13" s="28">
        <f t="shared" si="6"/>
        <v>26.4</v>
      </c>
      <c r="H13" s="28">
        <f t="shared" si="6"/>
        <v>26.4</v>
      </c>
      <c r="I13" s="28">
        <f t="shared" ref="I13:I18" si="8">C13*0.12</f>
        <v>18</v>
      </c>
      <c r="K13" s="65">
        <f>I8+I9+I11</f>
        <v>303.0225</v>
      </c>
      <c r="L13" s="63">
        <v>3.0</v>
      </c>
    </row>
    <row r="14">
      <c r="B14" s="60" t="s">
        <v>12</v>
      </c>
      <c r="C14" s="27">
        <v>32.0</v>
      </c>
      <c r="D14" s="28">
        <f t="shared" ref="D14:H14" si="7">SLN($C$14,$I$14,5)</f>
        <v>5.632</v>
      </c>
      <c r="E14" s="28">
        <f t="shared" si="7"/>
        <v>5.632</v>
      </c>
      <c r="F14" s="28">
        <f t="shared" si="7"/>
        <v>5.632</v>
      </c>
      <c r="G14" s="28">
        <f t="shared" si="7"/>
        <v>5.632</v>
      </c>
      <c r="H14" s="28">
        <f t="shared" si="7"/>
        <v>5.632</v>
      </c>
      <c r="I14" s="28">
        <f t="shared" si="8"/>
        <v>3.84</v>
      </c>
      <c r="K14" s="62">
        <v>0.0</v>
      </c>
      <c r="L14" s="63">
        <v>4.0</v>
      </c>
    </row>
    <row r="15">
      <c r="B15" s="60" t="s">
        <v>14</v>
      </c>
      <c r="C15" s="27">
        <v>99.0</v>
      </c>
      <c r="D15" s="28">
        <f t="shared" ref="D15:H15" si="9">SLN($C$15,$I$15,5)</f>
        <v>17.424</v>
      </c>
      <c r="E15" s="28">
        <f t="shared" si="9"/>
        <v>17.424</v>
      </c>
      <c r="F15" s="28">
        <f t="shared" si="9"/>
        <v>17.424</v>
      </c>
      <c r="G15" s="28">
        <f t="shared" si="9"/>
        <v>17.424</v>
      </c>
      <c r="H15" s="28">
        <f t="shared" si="9"/>
        <v>17.424</v>
      </c>
      <c r="I15" s="28">
        <f t="shared" si="8"/>
        <v>11.88</v>
      </c>
      <c r="K15" s="65">
        <f>I10+I13+I14+I15+I16+I17+I18</f>
        <v>271.4985</v>
      </c>
      <c r="L15" s="63">
        <v>5.0</v>
      </c>
    </row>
    <row r="16">
      <c r="B16" s="60" t="s">
        <v>53</v>
      </c>
      <c r="C16" s="27">
        <v>99.0</v>
      </c>
      <c r="D16" s="28">
        <f t="shared" ref="D16:H16" si="10">SLN($C$16,$I$16,5)</f>
        <v>17.424</v>
      </c>
      <c r="E16" s="28">
        <f t="shared" si="10"/>
        <v>17.424</v>
      </c>
      <c r="F16" s="28">
        <f t="shared" si="10"/>
        <v>17.424</v>
      </c>
      <c r="G16" s="28">
        <f t="shared" si="10"/>
        <v>17.424</v>
      </c>
      <c r="H16" s="28">
        <f t="shared" si="10"/>
        <v>17.424</v>
      </c>
      <c r="I16" s="28">
        <f t="shared" si="8"/>
        <v>11.88</v>
      </c>
    </row>
    <row r="17">
      <c r="B17" s="60" t="s">
        <v>54</v>
      </c>
      <c r="C17" s="27">
        <v>140.0</v>
      </c>
      <c r="D17" s="28">
        <f t="shared" ref="D17:H17" si="11">SLN($C$17,$I$17,5)</f>
        <v>24.64</v>
      </c>
      <c r="E17" s="28">
        <f t="shared" si="11"/>
        <v>24.64</v>
      </c>
      <c r="F17" s="28">
        <f t="shared" si="11"/>
        <v>24.64</v>
      </c>
      <c r="G17" s="28">
        <f t="shared" si="11"/>
        <v>24.64</v>
      </c>
      <c r="H17" s="28">
        <f t="shared" si="11"/>
        <v>24.64</v>
      </c>
      <c r="I17" s="28">
        <f t="shared" si="8"/>
        <v>16.8</v>
      </c>
    </row>
    <row r="18">
      <c r="B18" s="60" t="s">
        <v>55</v>
      </c>
      <c r="C18" s="27">
        <v>180.0</v>
      </c>
      <c r="D18" s="28">
        <f t="shared" ref="D18:H18" si="12">SLN($C$18,$I$18,5)</f>
        <v>31.68</v>
      </c>
      <c r="E18" s="28">
        <f t="shared" si="12"/>
        <v>31.68</v>
      </c>
      <c r="F18" s="28">
        <f t="shared" si="12"/>
        <v>31.68</v>
      </c>
      <c r="G18" s="28">
        <f t="shared" si="12"/>
        <v>31.68</v>
      </c>
      <c r="H18" s="28">
        <f t="shared" si="12"/>
        <v>31.68</v>
      </c>
      <c r="I18" s="28">
        <f t="shared" si="8"/>
        <v>21.6</v>
      </c>
    </row>
    <row r="19">
      <c r="B19" s="11" t="s">
        <v>56</v>
      </c>
      <c r="C19" s="46"/>
      <c r="D19" s="46">
        <f t="shared" ref="D19:I19" si="13">SUM(D7:D18)</f>
        <v>908.0741333</v>
      </c>
      <c r="E19" s="46">
        <f t="shared" si="13"/>
        <v>908.0741333</v>
      </c>
      <c r="F19" s="46">
        <f t="shared" si="13"/>
        <v>908.0741333</v>
      </c>
      <c r="G19" s="46">
        <f t="shared" si="13"/>
        <v>335.6983</v>
      </c>
      <c r="H19" s="46">
        <f t="shared" si="13"/>
        <v>335.6983</v>
      </c>
      <c r="I19" s="46">
        <f t="shared" si="13"/>
        <v>574.521</v>
      </c>
    </row>
    <row r="22">
      <c r="B22" s="1" t="s">
        <v>57</v>
      </c>
      <c r="C22" s="40"/>
      <c r="D22" s="40"/>
      <c r="E22" s="40"/>
      <c r="F22" s="40"/>
      <c r="G22" s="40"/>
      <c r="H22" s="40"/>
      <c r="I22" s="2"/>
    </row>
    <row r="23">
      <c r="B23" s="24" t="s">
        <v>3</v>
      </c>
      <c r="C23" s="24" t="s">
        <v>58</v>
      </c>
      <c r="D23" s="24" t="s">
        <v>59</v>
      </c>
      <c r="E23" s="1" t="s">
        <v>60</v>
      </c>
      <c r="F23" s="40"/>
      <c r="G23" s="40"/>
      <c r="H23" s="40"/>
      <c r="I23" s="2"/>
    </row>
    <row r="24">
      <c r="B24" s="55"/>
      <c r="C24" s="55"/>
      <c r="D24" s="55"/>
      <c r="E24" s="41">
        <v>1.0</v>
      </c>
      <c r="F24" s="41">
        <v>2.0</v>
      </c>
      <c r="G24" s="41">
        <v>3.0</v>
      </c>
      <c r="H24" s="41">
        <v>4.0</v>
      </c>
      <c r="I24" s="41">
        <v>5.0</v>
      </c>
    </row>
    <row r="25">
      <c r="B25" s="66" t="s">
        <v>61</v>
      </c>
      <c r="C25" s="67">
        <v>0.1</v>
      </c>
      <c r="D25" s="27">
        <v>19.0</v>
      </c>
      <c r="E25" s="68">
        <v>120.0</v>
      </c>
      <c r="F25" s="68"/>
      <c r="G25" s="68"/>
      <c r="H25" s="68"/>
      <c r="I25" s="68"/>
    </row>
    <row r="26">
      <c r="B26" s="66" t="s">
        <v>62</v>
      </c>
      <c r="C26" s="56"/>
      <c r="D26" s="27">
        <v>15.0</v>
      </c>
      <c r="E26" s="68">
        <v>144.0</v>
      </c>
      <c r="F26" s="68"/>
      <c r="G26" s="68"/>
      <c r="H26" s="68"/>
      <c r="I26" s="68"/>
    </row>
    <row r="27">
      <c r="B27" s="66" t="s">
        <v>63</v>
      </c>
      <c r="C27" s="56"/>
      <c r="D27" s="27">
        <v>35.0</v>
      </c>
      <c r="E27" s="68">
        <v>96.0</v>
      </c>
      <c r="F27" s="68"/>
      <c r="G27" s="68"/>
      <c r="H27" s="68"/>
      <c r="I27" s="68"/>
    </row>
    <row r="28">
      <c r="B28" s="66" t="s">
        <v>64</v>
      </c>
      <c r="C28" s="56"/>
      <c r="D28" s="27">
        <v>30.0</v>
      </c>
      <c r="E28" s="68">
        <v>120.0</v>
      </c>
      <c r="F28" s="68"/>
      <c r="G28" s="68"/>
      <c r="H28" s="68"/>
      <c r="I28" s="68"/>
    </row>
    <row r="29">
      <c r="B29" s="66" t="s">
        <v>65</v>
      </c>
      <c r="C29" s="56"/>
      <c r="D29" s="27">
        <v>35.0</v>
      </c>
      <c r="E29" s="68">
        <v>96.0</v>
      </c>
      <c r="F29" s="68"/>
      <c r="G29" s="68"/>
      <c r="H29" s="68"/>
      <c r="I29" s="68"/>
    </row>
    <row r="30">
      <c r="B30" s="66" t="s">
        <v>66</v>
      </c>
      <c r="C30" s="56"/>
      <c r="D30" s="27">
        <v>21.0</v>
      </c>
      <c r="E30" s="68">
        <v>120.0</v>
      </c>
      <c r="F30" s="68"/>
      <c r="G30" s="68"/>
      <c r="H30" s="68"/>
      <c r="I30" s="68"/>
    </row>
    <row r="31">
      <c r="B31" s="66" t="s">
        <v>67</v>
      </c>
      <c r="C31" s="56"/>
      <c r="D31" s="27">
        <v>10.0</v>
      </c>
      <c r="E31" s="68">
        <v>240.0</v>
      </c>
      <c r="F31" s="68"/>
      <c r="G31" s="68"/>
      <c r="H31" s="68"/>
      <c r="I31" s="68"/>
    </row>
    <row r="32">
      <c r="B32" s="66" t="s">
        <v>68</v>
      </c>
      <c r="C32" s="55"/>
      <c r="D32" s="27">
        <v>17.5</v>
      </c>
      <c r="E32" s="68">
        <v>144.0</v>
      </c>
      <c r="F32" s="68"/>
      <c r="G32" s="68"/>
      <c r="H32" s="68"/>
      <c r="I32" s="68"/>
    </row>
    <row r="33">
      <c r="B33" s="45" t="s">
        <v>69</v>
      </c>
      <c r="C33" s="40"/>
      <c r="D33" s="2"/>
      <c r="E33" s="69">
        <f>SUM(E25:E32)</f>
        <v>1080</v>
      </c>
      <c r="F33" s="69">
        <f t="shared" ref="F33:F34" si="14">E33+(E33*0.1)</f>
        <v>1188</v>
      </c>
      <c r="G33" s="70" t="s">
        <v>70</v>
      </c>
      <c r="H33" s="70" t="s">
        <v>71</v>
      </c>
      <c r="I33" s="70" t="s">
        <v>72</v>
      </c>
      <c r="J33" s="9" t="s">
        <v>73</v>
      </c>
    </row>
    <row r="34">
      <c r="B34" s="45" t="s">
        <v>74</v>
      </c>
      <c r="C34" s="40"/>
      <c r="D34" s="2"/>
      <c r="E34" s="46">
        <f>(E25*$D$25)+(E26*$D$26)+(E27*$D$27)+(E28*$D$28)+(E29*$D$29)+(E30*$D$30)+(E31*$D$31)+(E32*$D$32)</f>
        <v>22200</v>
      </c>
      <c r="F34" s="46">
        <f t="shared" si="14"/>
        <v>24420</v>
      </c>
      <c r="G34" s="46">
        <f t="shared" ref="G34:I34" si="15">F34+(F34*0.1)</f>
        <v>26862</v>
      </c>
      <c r="H34" s="46">
        <f t="shared" si="15"/>
        <v>29548.2</v>
      </c>
      <c r="I34" s="46">
        <f t="shared" si="15"/>
        <v>32503.02</v>
      </c>
    </row>
  </sheetData>
  <mergeCells count="14">
    <mergeCell ref="B23:B24"/>
    <mergeCell ref="C23:C24"/>
    <mergeCell ref="D23:D24"/>
    <mergeCell ref="C25:C32"/>
    <mergeCell ref="B33:D33"/>
    <mergeCell ref="B34:D34"/>
    <mergeCell ref="B2:I2"/>
    <mergeCell ref="B4:B5"/>
    <mergeCell ref="C4:C5"/>
    <mergeCell ref="D4:H4"/>
    <mergeCell ref="I4:I6"/>
    <mergeCell ref="B6:H6"/>
    <mergeCell ref="B22:I22"/>
    <mergeCell ref="E23:I2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73763"/>
    <outlinePr summaryBelow="0" summaryRight="0"/>
  </sheetPr>
  <sheetViews>
    <sheetView workbookViewId="0"/>
  </sheetViews>
  <sheetFormatPr customHeight="1" defaultColWidth="14.43" defaultRowHeight="15.75"/>
  <cols>
    <col customWidth="1" min="2" max="2" width="50.43"/>
    <col customWidth="1" min="3" max="3" width="29.14"/>
  </cols>
  <sheetData>
    <row r="3">
      <c r="B3" s="1" t="s">
        <v>75</v>
      </c>
      <c r="C3" s="40"/>
      <c r="D3" s="40"/>
      <c r="E3" s="40"/>
      <c r="F3" s="40"/>
      <c r="G3" s="40"/>
      <c r="H3" s="2"/>
    </row>
    <row r="4">
      <c r="B4" s="24" t="s">
        <v>3</v>
      </c>
      <c r="C4" s="24" t="s">
        <v>33</v>
      </c>
      <c r="D4" s="1" t="s">
        <v>46</v>
      </c>
      <c r="E4" s="40"/>
      <c r="F4" s="40"/>
      <c r="G4" s="40"/>
      <c r="H4" s="2"/>
    </row>
    <row r="5">
      <c r="B5" s="55"/>
      <c r="C5" s="55"/>
      <c r="D5" s="41">
        <v>1.0</v>
      </c>
      <c r="E5" s="41">
        <v>2.0</v>
      </c>
      <c r="F5" s="41">
        <v>3.0</v>
      </c>
      <c r="G5" s="41">
        <v>4.0</v>
      </c>
      <c r="H5" s="41">
        <v>5.0</v>
      </c>
    </row>
    <row r="6">
      <c r="B6" s="71" t="s">
        <v>76</v>
      </c>
      <c r="C6" s="68" t="s">
        <v>41</v>
      </c>
      <c r="D6" s="27">
        <v>2700.0</v>
      </c>
      <c r="E6" s="27">
        <v>2700.0</v>
      </c>
      <c r="F6" s="27">
        <v>2700.0</v>
      </c>
      <c r="G6" s="27">
        <v>2700.0</v>
      </c>
      <c r="H6" s="27">
        <v>2700.0</v>
      </c>
    </row>
    <row r="7">
      <c r="B7" s="71" t="s">
        <v>77</v>
      </c>
      <c r="C7" s="68" t="s">
        <v>41</v>
      </c>
      <c r="D7" s="27">
        <v>426.0</v>
      </c>
      <c r="E7" s="27">
        <v>426.0</v>
      </c>
      <c r="F7" s="27">
        <v>426.0</v>
      </c>
      <c r="G7" s="27">
        <v>426.0</v>
      </c>
      <c r="H7" s="27">
        <v>426.0</v>
      </c>
    </row>
    <row r="8">
      <c r="B8" s="71" t="s">
        <v>78</v>
      </c>
      <c r="C8" s="68" t="s">
        <v>41</v>
      </c>
      <c r="D8" s="27">
        <v>785.76</v>
      </c>
      <c r="E8" s="27">
        <v>785.76</v>
      </c>
      <c r="F8" s="27">
        <v>785.76</v>
      </c>
      <c r="G8" s="27">
        <v>785.76</v>
      </c>
      <c r="H8" s="27">
        <v>785.76</v>
      </c>
    </row>
    <row r="9">
      <c r="B9" s="71" t="s">
        <v>79</v>
      </c>
      <c r="C9" s="68" t="s">
        <v>41</v>
      </c>
      <c r="D9" s="27">
        <v>130.2</v>
      </c>
      <c r="E9" s="27">
        <v>130.2</v>
      </c>
      <c r="F9" s="27">
        <v>130.2</v>
      </c>
      <c r="G9" s="27">
        <v>130.2</v>
      </c>
      <c r="H9" s="27">
        <v>130.2</v>
      </c>
    </row>
    <row r="10">
      <c r="B10" s="71" t="s">
        <v>80</v>
      </c>
      <c r="C10" s="68" t="s">
        <v>41</v>
      </c>
      <c r="D10" s="27">
        <v>4800.0</v>
      </c>
      <c r="E10" s="27">
        <v>4800.0</v>
      </c>
      <c r="F10" s="27">
        <v>4800.0</v>
      </c>
      <c r="G10" s="27">
        <v>4800.0</v>
      </c>
      <c r="H10" s="27">
        <v>4800.0</v>
      </c>
    </row>
    <row r="11">
      <c r="B11" s="45" t="s">
        <v>81</v>
      </c>
      <c r="C11" s="2"/>
      <c r="D11" s="46">
        <f t="shared" ref="D11:H11" si="1">SUM(D6:D10)</f>
        <v>8841.96</v>
      </c>
      <c r="E11" s="46">
        <f t="shared" si="1"/>
        <v>8841.96</v>
      </c>
      <c r="F11" s="46">
        <f t="shared" si="1"/>
        <v>8841.96</v>
      </c>
      <c r="G11" s="46">
        <f t="shared" si="1"/>
        <v>8841.96</v>
      </c>
      <c r="H11" s="46">
        <f t="shared" si="1"/>
        <v>8841.96</v>
      </c>
    </row>
  </sheetData>
  <mergeCells count="5">
    <mergeCell ref="B3:H3"/>
    <mergeCell ref="B4:B5"/>
    <mergeCell ref="C4:C5"/>
    <mergeCell ref="D4:H4"/>
    <mergeCell ref="B11:C1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  <col customWidth="1" min="2" max="2" width="58.43"/>
    <col customWidth="1" min="10" max="10" width="19.57"/>
  </cols>
  <sheetData>
    <row r="1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>
      <c r="A2" s="39"/>
      <c r="B2" s="1" t="s">
        <v>82</v>
      </c>
      <c r="C2" s="40"/>
      <c r="D2" s="40"/>
      <c r="E2" s="40"/>
      <c r="F2" s="40"/>
      <c r="G2" s="40"/>
      <c r="H2" s="2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>
      <c r="A3" s="39"/>
      <c r="B3" s="72" t="s">
        <v>3</v>
      </c>
      <c r="C3" s="1" t="s">
        <v>46</v>
      </c>
      <c r="D3" s="40"/>
      <c r="E3" s="40"/>
      <c r="F3" s="40"/>
      <c r="G3" s="40"/>
      <c r="H3" s="2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>
      <c r="A4" s="39"/>
      <c r="C4" s="41">
        <v>0.0</v>
      </c>
      <c r="D4" s="41">
        <v>1.0</v>
      </c>
      <c r="E4" s="41">
        <v>2.0</v>
      </c>
      <c r="F4" s="41">
        <v>3.0</v>
      </c>
      <c r="G4" s="41">
        <v>4.0</v>
      </c>
      <c r="H4" s="41">
        <v>5.0</v>
      </c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>
      <c r="A5" s="39"/>
      <c r="B5" s="60" t="s">
        <v>83</v>
      </c>
      <c r="C5" s="73">
        <v>0.0</v>
      </c>
      <c r="D5" s="73">
        <f>'Depreciación e Ingresos'!E34</f>
        <v>22200</v>
      </c>
      <c r="E5" s="73">
        <f>'Depreciación e Ingresos'!F34</f>
        <v>24420</v>
      </c>
      <c r="F5" s="73">
        <f>'Depreciación e Ingresos'!G34</f>
        <v>26862</v>
      </c>
      <c r="G5" s="73">
        <f>'Depreciación e Ingresos'!H34</f>
        <v>29548.2</v>
      </c>
      <c r="H5" s="73">
        <f>'Depreciación e Ingresos'!I34</f>
        <v>32503.02</v>
      </c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>
      <c r="A6" s="39"/>
      <c r="B6" s="60" t="s">
        <v>84</v>
      </c>
      <c r="C6" s="73">
        <v>0.0</v>
      </c>
      <c r="D6" s="73">
        <f>'Costos de ventas'!F10</f>
        <v>9238.4</v>
      </c>
      <c r="E6" s="73">
        <f>'Costos de ventas'!G10</f>
        <v>9521.952</v>
      </c>
      <c r="F6" s="73">
        <f>'Costos de ventas'!H10</f>
        <v>9815.35056</v>
      </c>
      <c r="G6" s="73">
        <f>'Costos de ventas'!I10</f>
        <v>10119.02168</v>
      </c>
      <c r="H6" s="73">
        <f>'Costos de ventas'!J10</f>
        <v>10433.41697</v>
      </c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>
      <c r="A7" s="39"/>
      <c r="B7" s="74" t="s">
        <v>85</v>
      </c>
      <c r="C7" s="75">
        <f t="shared" ref="C7:H7" si="1">C5-C6</f>
        <v>0</v>
      </c>
      <c r="D7" s="75">
        <f t="shared" si="1"/>
        <v>12961.6</v>
      </c>
      <c r="E7" s="75">
        <f t="shared" si="1"/>
        <v>14898.048</v>
      </c>
      <c r="F7" s="75">
        <f t="shared" si="1"/>
        <v>17046.64944</v>
      </c>
      <c r="G7" s="75">
        <f t="shared" si="1"/>
        <v>19429.17832</v>
      </c>
      <c r="H7" s="75">
        <f t="shared" si="1"/>
        <v>22069.60303</v>
      </c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>
      <c r="A8" s="39"/>
      <c r="B8" s="60" t="s">
        <v>86</v>
      </c>
      <c r="C8" s="73">
        <v>0.0</v>
      </c>
      <c r="D8" s="76">
        <f>'Gastos de Administración'!D11</f>
        <v>8841.96</v>
      </c>
      <c r="E8" s="76">
        <f>'Gastos de Administración'!E11</f>
        <v>8841.96</v>
      </c>
      <c r="F8" s="76">
        <f>'Gastos de Administración'!F11</f>
        <v>8841.96</v>
      </c>
      <c r="G8" s="76">
        <f>'Gastos de Administración'!G11</f>
        <v>8841.96</v>
      </c>
      <c r="H8" s="76">
        <f>'Gastos de Administración'!H11</f>
        <v>8841.96</v>
      </c>
      <c r="I8" s="39"/>
      <c r="J8" s="77" t="s">
        <v>87</v>
      </c>
      <c r="K8" s="78">
        <v>0.2</v>
      </c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>
      <c r="A9" s="39"/>
      <c r="B9" s="60" t="s">
        <v>88</v>
      </c>
      <c r="C9" s="73">
        <v>0.0</v>
      </c>
      <c r="D9" s="76">
        <f>'Costo de Financiamiento'!E7</f>
        <v>400</v>
      </c>
      <c r="E9" s="76">
        <f>'Costo de Financiamiento'!E8</f>
        <v>334.4810077</v>
      </c>
      <c r="F9" s="76">
        <f>'Costo de Financiamiento'!E9</f>
        <v>262.4101161</v>
      </c>
      <c r="G9" s="76">
        <f>'Costo de Financiamiento'!E10</f>
        <v>183.1321354</v>
      </c>
      <c r="H9" s="76">
        <f>'Costo de Financiamiento'!E11</f>
        <v>95.92635665</v>
      </c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>
      <c r="A10" s="39"/>
      <c r="B10" s="60" t="s">
        <v>89</v>
      </c>
      <c r="C10" s="73">
        <v>0.0</v>
      </c>
      <c r="D10" s="76">
        <f>'Depreciación e Ingresos'!D19</f>
        <v>908.0741333</v>
      </c>
      <c r="E10" s="76">
        <f>'Depreciación e Ingresos'!E19</f>
        <v>908.0741333</v>
      </c>
      <c r="F10" s="76">
        <f>'Depreciación e Ingresos'!F19</f>
        <v>908.0741333</v>
      </c>
      <c r="G10" s="76">
        <f>'Depreciación e Ingresos'!G19</f>
        <v>335.6983</v>
      </c>
      <c r="H10" s="76">
        <f>'Depreciación e Ingresos'!H19</f>
        <v>335.6983</v>
      </c>
      <c r="I10" s="39"/>
      <c r="J10" s="25" t="s">
        <v>90</v>
      </c>
      <c r="K10" s="78">
        <v>0.15</v>
      </c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>
      <c r="A11" s="39"/>
      <c r="B11" s="74" t="s">
        <v>91</v>
      </c>
      <c r="C11" s="79">
        <f t="shared" ref="C11:H11" si="2">C7-C8-C9-C10</f>
        <v>0</v>
      </c>
      <c r="D11" s="79">
        <f t="shared" si="2"/>
        <v>2811.565867</v>
      </c>
      <c r="E11" s="79">
        <f t="shared" si="2"/>
        <v>4813.532859</v>
      </c>
      <c r="F11" s="79">
        <f t="shared" si="2"/>
        <v>7034.205191</v>
      </c>
      <c r="G11" s="79">
        <f t="shared" si="2"/>
        <v>10068.38789</v>
      </c>
      <c r="H11" s="79">
        <f t="shared" si="2"/>
        <v>12796.01837</v>
      </c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>
      <c r="A12" s="39"/>
      <c r="B12" s="60" t="s">
        <v>92</v>
      </c>
      <c r="C12" s="73">
        <v>0.0</v>
      </c>
      <c r="D12" s="76">
        <f t="shared" ref="D12:H12" si="3">D11*0.2</f>
        <v>562.3131733</v>
      </c>
      <c r="E12" s="76">
        <f t="shared" si="3"/>
        <v>962.7065718</v>
      </c>
      <c r="F12" s="76">
        <f t="shared" si="3"/>
        <v>1406.841038</v>
      </c>
      <c r="G12" s="76">
        <f t="shared" si="3"/>
        <v>2013.677578</v>
      </c>
      <c r="H12" s="76">
        <f t="shared" si="3"/>
        <v>2559.203675</v>
      </c>
      <c r="I12" s="39"/>
      <c r="J12" s="41" t="s">
        <v>93</v>
      </c>
      <c r="K12" s="80">
        <f t="array" ref="K12">C18+NPV(K10,D18:H18)</f>
        <v>4217.465725</v>
      </c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>
      <c r="A13" s="39"/>
      <c r="B13" s="74" t="s">
        <v>94</v>
      </c>
      <c r="C13" s="79">
        <f t="shared" ref="C13:H13" si="4">C11-C12</f>
        <v>0</v>
      </c>
      <c r="D13" s="79">
        <f t="shared" si="4"/>
        <v>2249.252693</v>
      </c>
      <c r="E13" s="79">
        <f t="shared" si="4"/>
        <v>3850.826287</v>
      </c>
      <c r="F13" s="79">
        <f t="shared" si="4"/>
        <v>5627.364152</v>
      </c>
      <c r="G13" s="79">
        <f t="shared" si="4"/>
        <v>8054.71031</v>
      </c>
      <c r="H13" s="79">
        <f t="shared" si="4"/>
        <v>10236.8147</v>
      </c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>
      <c r="A14" s="39"/>
      <c r="B14" s="60" t="s">
        <v>95</v>
      </c>
      <c r="C14" s="73">
        <v>0.0</v>
      </c>
      <c r="D14" s="76">
        <f>'Depreciación e Ingresos'!D19</f>
        <v>908.0741333</v>
      </c>
      <c r="E14" s="76">
        <f>'Depreciación e Ingresos'!E19</f>
        <v>908.0741333</v>
      </c>
      <c r="F14" s="76">
        <f>'Depreciación e Ingresos'!F19</f>
        <v>908.0741333</v>
      </c>
      <c r="G14" s="76">
        <f>'Depreciación e Ingresos'!G19</f>
        <v>335.6983</v>
      </c>
      <c r="H14" s="76">
        <f>'Depreciación e Ingresos'!H19</f>
        <v>335.6983</v>
      </c>
      <c r="I14" s="39"/>
      <c r="J14" s="41" t="s">
        <v>96</v>
      </c>
      <c r="K14" s="81">
        <f>IRR(C18:H18)</f>
        <v>0.2445017256</v>
      </c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>
      <c r="A15" s="39"/>
      <c r="B15" s="60" t="s">
        <v>97</v>
      </c>
      <c r="C15" s="73">
        <v>0.0</v>
      </c>
      <c r="D15" s="76">
        <f>'Costo de Financiamiento'!F7</f>
        <v>655.1899232</v>
      </c>
      <c r="E15" s="76">
        <f>'Costo de Financiamiento'!F8</f>
        <v>720.7089155</v>
      </c>
      <c r="F15" s="76">
        <f>'Costo de Financiamiento'!F9</f>
        <v>792.779807</v>
      </c>
      <c r="G15" s="76">
        <f>'Costo de Financiamiento'!F10</f>
        <v>872.0577878</v>
      </c>
      <c r="H15" s="76">
        <f>'Costo de Financiamiento'!F11</f>
        <v>959.2635665</v>
      </c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>
      <c r="A16" s="39"/>
      <c r="B16" s="60" t="s">
        <v>98</v>
      </c>
      <c r="C16" s="73">
        <v>0.0</v>
      </c>
      <c r="D16" s="73">
        <v>0.0</v>
      </c>
      <c r="E16" s="73">
        <v>0.0</v>
      </c>
      <c r="F16" s="76">
        <f>'Depreciación e Ingresos'!K13</f>
        <v>303.0225</v>
      </c>
      <c r="G16" s="73">
        <v>0.0</v>
      </c>
      <c r="H16" s="76">
        <f>'Depreciación e Ingresos'!K15</f>
        <v>271.4985</v>
      </c>
      <c r="I16" s="39"/>
      <c r="J16" s="53"/>
      <c r="K16" s="39"/>
      <c r="L16" s="53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>
      <c r="A17" s="39"/>
      <c r="B17" s="60" t="s">
        <v>45</v>
      </c>
      <c r="C17" s="73">
        <v>14200.0</v>
      </c>
      <c r="D17" s="73">
        <v>0.0</v>
      </c>
      <c r="E17" s="73">
        <v>0.0</v>
      </c>
      <c r="F17" s="73">
        <v>0.0</v>
      </c>
      <c r="G17" s="73">
        <v>0.0</v>
      </c>
      <c r="H17" s="73">
        <v>0.0</v>
      </c>
      <c r="I17" s="39"/>
      <c r="J17" s="53" t="s">
        <v>99</v>
      </c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>
      <c r="A18" s="39"/>
      <c r="B18" s="32" t="s">
        <v>100</v>
      </c>
      <c r="C18" s="82">
        <f>C13+C14-C15+C16-C17</f>
        <v>-14200</v>
      </c>
      <c r="D18" s="82">
        <f t="shared" ref="D18:H18" si="5">D13+D14-D15+D16+D17</f>
        <v>2502.136903</v>
      </c>
      <c r="E18" s="82">
        <f t="shared" si="5"/>
        <v>4038.191505</v>
      </c>
      <c r="F18" s="82">
        <f t="shared" si="5"/>
        <v>6045.680979</v>
      </c>
      <c r="G18" s="82">
        <f t="shared" si="5"/>
        <v>7518.350822</v>
      </c>
      <c r="H18" s="82">
        <f t="shared" si="5"/>
        <v>9884.747933</v>
      </c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>
      <c r="A21" s="39"/>
      <c r="B21" s="83" t="s">
        <v>101</v>
      </c>
      <c r="H21" s="39"/>
      <c r="I21" s="39"/>
      <c r="J21" s="84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ht="89.25" customHeight="1">
      <c r="A22" s="39"/>
      <c r="B22" s="85" t="s">
        <v>102</v>
      </c>
      <c r="C22" s="39"/>
      <c r="D22" s="39"/>
      <c r="E22" s="53"/>
      <c r="F22" s="39"/>
      <c r="G22" s="86"/>
      <c r="H22" s="86"/>
      <c r="I22" s="86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>
      <c r="A23" s="39"/>
      <c r="B23" s="39"/>
      <c r="C23" s="39"/>
      <c r="D23" s="39"/>
      <c r="E23" s="53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>
      <c r="A24" s="39"/>
      <c r="B24" s="39"/>
      <c r="C24" s="39"/>
      <c r="D24" s="39"/>
      <c r="E24" s="39"/>
      <c r="F24" s="39"/>
      <c r="G24" s="39"/>
      <c r="H24" s="39"/>
      <c r="I24" s="53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>
      <c r="A26" s="39"/>
      <c r="B26" s="39"/>
      <c r="C26" s="39"/>
      <c r="D26" s="39"/>
      <c r="E26" s="39"/>
      <c r="F26" s="39"/>
      <c r="G26" s="39"/>
      <c r="H26" s="39"/>
      <c r="I26" s="53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r="999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  <row r="1000">
      <c r="A1000" s="39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</row>
  </sheetData>
  <mergeCells count="3">
    <mergeCell ref="B2:H2"/>
    <mergeCell ref="B3:B4"/>
    <mergeCell ref="C3:H3"/>
  </mergeCells>
  <drawing r:id="rId1"/>
</worksheet>
</file>