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\sp\it\k3s\aws-pricing\"/>
    </mc:Choice>
  </mc:AlternateContent>
  <xr:revisionPtr revIDLastSave="0" documentId="8_{0F6A76A1-DC82-426B-A382-948EC2636125}" xr6:coauthVersionLast="45" xr6:coauthVersionMax="45" xr10:uidLastSave="{00000000-0000-0000-0000-000000000000}"/>
  <bookViews>
    <workbookView xWindow="28680" yWindow="-120" windowWidth="29040" windowHeight="15990" xr2:uid="{494E9B89-9541-483F-999F-710E827751B1}"/>
  </bookViews>
  <sheets>
    <sheet name="general calculation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" l="1"/>
  <c r="X33" i="1"/>
  <c r="X47" i="1" s="1"/>
  <c r="X38" i="1"/>
  <c r="X4" i="1"/>
  <c r="X3" i="1"/>
  <c r="X2" i="1"/>
  <c r="X37" i="1"/>
  <c r="X36" i="1"/>
  <c r="X40" i="1" s="1"/>
  <c r="B2" i="2" s="1"/>
  <c r="X11" i="1"/>
  <c r="X28" i="1"/>
  <c r="X29" i="1" s="1"/>
  <c r="X21" i="1"/>
  <c r="X20" i="1"/>
  <c r="X19" i="1"/>
  <c r="X25" i="1" s="1"/>
  <c r="C4" i="2" s="1"/>
  <c r="X12" i="1"/>
  <c r="X46" i="1" l="1"/>
  <c r="X53" i="1"/>
  <c r="C10" i="2"/>
  <c r="C12" i="2"/>
  <c r="B12" i="2"/>
  <c r="E12" i="2" s="1"/>
  <c r="F12" i="2" s="1"/>
  <c r="C14" i="2"/>
  <c r="B10" i="2"/>
  <c r="B6" i="2"/>
  <c r="E6" i="2" s="1"/>
  <c r="F6" i="2" s="1"/>
  <c r="C16" i="2"/>
  <c r="X52" i="1"/>
  <c r="C6" i="2"/>
  <c r="B16" i="2"/>
  <c r="B4" i="2"/>
  <c r="B14" i="2"/>
  <c r="E14" i="2" s="1"/>
  <c r="F14" i="2" s="1"/>
  <c r="X45" i="1"/>
  <c r="C2" i="2"/>
  <c r="E2" i="2" s="1"/>
  <c r="F2" i="2" s="1"/>
  <c r="C8" i="2"/>
  <c r="E8" i="2" s="1"/>
  <c r="F8" i="2" s="1"/>
  <c r="E4" i="2"/>
  <c r="F4" i="2" s="1"/>
  <c r="E16" i="2"/>
  <c r="F16" i="2" s="1"/>
  <c r="E10" i="2"/>
  <c r="F10" i="2" s="1"/>
  <c r="X8" i="1"/>
  <c r="X16" i="1"/>
  <c r="X44" i="1" l="1"/>
  <c r="X51" i="1"/>
  <c r="X43" i="1"/>
  <c r="W48" i="1" s="1"/>
  <c r="X50" i="1"/>
  <c r="W55" i="1" l="1"/>
</calcChain>
</file>

<file path=xl/sharedStrings.xml><?xml version="1.0" encoding="utf-8"?>
<sst xmlns="http://schemas.openxmlformats.org/spreadsheetml/2006/main" count="113" uniqueCount="73">
  <si>
    <t>poc</t>
  </si>
  <si>
    <t>t3a.medium</t>
  </si>
  <si>
    <t>rancher-solo-etcd-controlplane</t>
  </si>
  <si>
    <t>rancher-solo-poc-1-workers</t>
  </si>
  <si>
    <t>rancher-solo-worker-poc-1-asg</t>
  </si>
  <si>
    <t>t3.medium</t>
  </si>
  <si>
    <t>t3a.small</t>
  </si>
  <si>
    <t>spot</t>
  </si>
  <si>
    <t>on-demand</t>
  </si>
  <si>
    <t>k3s-test-worker</t>
  </si>
  <si>
    <t>For Brian for running auto-tests</t>
  </si>
  <si>
    <t>develop</t>
  </si>
  <si>
    <t>k3s-server-develop</t>
  </si>
  <si>
    <t>k3s-worker-develop-spot</t>
  </si>
  <si>
    <t>production</t>
  </si>
  <si>
    <t>k3s-server-production</t>
  </si>
  <si>
    <t>k3s-production-workers-spot</t>
  </si>
  <si>
    <t>k3s-worker-production-persistent</t>
  </si>
  <si>
    <t>k8s etcd-controlplane</t>
  </si>
  <si>
    <t>k8s worker</t>
  </si>
  <si>
    <t>k3s server</t>
  </si>
  <si>
    <t>k3s worker</t>
  </si>
  <si>
    <t>rancher-solo-workers-alb</t>
  </si>
  <si>
    <t>rancher-solo-workers-nlb</t>
  </si>
  <si>
    <t>Application load-balancer</t>
  </si>
  <si>
    <t>Network load-balancer</t>
  </si>
  <si>
    <t>k3s-develop</t>
  </si>
  <si>
    <t>k3s-servers-develop</t>
  </si>
  <si>
    <t>RDS</t>
  </si>
  <si>
    <t>k3s</t>
  </si>
  <si>
    <t>Aurora serverless PostgreSQL</t>
  </si>
  <si>
    <t>2 capacity units</t>
  </si>
  <si>
    <t>EKS</t>
  </si>
  <si>
    <t>EKS cluster</t>
  </si>
  <si>
    <t>On-demand
USD / hr</t>
  </si>
  <si>
    <t>Spot
USD / hr</t>
  </si>
  <si>
    <t>https://aws.amazon.com/ec2/spot/pricing/</t>
  </si>
  <si>
    <t>Cost per month
USD / month
24 * 31 * price</t>
  </si>
  <si>
    <t>i.e. eks-worker-ec2-spot</t>
  </si>
  <si>
    <t>i.e. eks-workers-nlb</t>
  </si>
  <si>
    <t>this cluster is supposed to be removed</t>
  </si>
  <si>
    <t>seems like we don't need that machine anymore</t>
  </si>
  <si>
    <t>Spot pricing</t>
  </si>
  <si>
    <r>
      <t xml:space="preserve">this is my bad and something I did not notice initially
and a good point for optimization
we need to switch for pure PostgreSQL t3.small which is </t>
    </r>
    <r>
      <rPr>
        <b/>
        <sz val="11"/>
        <color theme="1"/>
        <rFont val="Calibri"/>
        <family val="2"/>
        <charset val="204"/>
        <scheme val="minor"/>
      </rPr>
      <t>26.36 USD</t>
    </r>
  </si>
  <si>
    <t>QA</t>
  </si>
  <si>
    <t>current implementation
2 worker nodes each</t>
  </si>
  <si>
    <t>k3s-production</t>
  </si>
  <si>
    <t>abs delta</t>
  </si>
  <si>
    <t>% delta</t>
  </si>
  <si>
    <t>Cluster</t>
  </si>
  <si>
    <t>Purpose</t>
  </si>
  <si>
    <t>Name</t>
  </si>
  <si>
    <t>Tier</t>
  </si>
  <si>
    <t>Pricing Type</t>
  </si>
  <si>
    <t>TOTAL</t>
  </si>
  <si>
    <t>qa</t>
  </si>
  <si>
    <t>rds</t>
  </si>
  <si>
    <t>Current</t>
  </si>
  <si>
    <t>RDS optimized</t>
  </si>
  <si>
    <t>removed</t>
  </si>
  <si>
    <t>nlb optimized</t>
  </si>
  <si>
    <t>we keep that by only mean: in case we will have more than 1 k3s server
can be removed if we go with 1 k3s server</t>
  </si>
  <si>
    <t>EKS pricing</t>
  </si>
  <si>
    <t>https://aws.amazon.com/eks/pricing/</t>
  </si>
  <si>
    <t>AWS calculator</t>
  </si>
  <si>
    <t>https://calculator.s3.amazonaws.com/index.html</t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</si>
  <si>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2 worker nodes each</t>
    </r>
  </si>
  <si>
    <r>
      <t xml:space="preserve">optimized RDS
</t>
    </r>
    <r>
      <rPr>
        <b/>
        <sz val="11"/>
        <color theme="1"/>
        <rFont val="Calibri"/>
        <family val="2"/>
        <charset val="204"/>
        <scheme val="minor"/>
      </rPr>
      <t>2 worker nodes each</t>
    </r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</si>
  <si>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10 worker nodes each</t>
    </r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</si>
  <si>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20 worker nodes each</t>
    </r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</si>
  <si>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30 worker nodes each</t>
    </r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</si>
  <si>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40 worker nodes each</t>
    </r>
  </si>
  <si>
    <r>
      <t xml:space="preserve">optimized RDS
optimized NLB
</t>
    </r>
    <r>
      <rPr>
        <b/>
        <sz val="11"/>
        <color theme="1"/>
        <rFont val="Calibri"/>
        <family val="2"/>
        <charset val="204"/>
        <scheme val="minor"/>
      </rPr>
      <t>50 worker nodes each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</si>
</sst>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70" formatCode="&quot;$&quot;#,##0.0000_);[Red]\(&quot;$&quot;#,##0.00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8" fontId="0" fillId="0" borderId="0" xfId="0" applyNumberFormat="1"/>
    <xf numFmtId="170" fontId="0" fillId="0" borderId="0" xfId="0" applyNumberFormat="1"/>
    <xf numFmtId="0" fontId="0" fillId="0" borderId="2" xfId="0" applyBorder="1"/>
    <xf numFmtId="170" fontId="0" fillId="0" borderId="2" xfId="0" applyNumberFormat="1" applyBorder="1"/>
    <xf numFmtId="8" fontId="0" fillId="0" borderId="3" xfId="0" applyNumberFormat="1" applyBorder="1"/>
    <xf numFmtId="0" fontId="0" fillId="0" borderId="4" xfId="0" applyBorder="1"/>
    <xf numFmtId="0" fontId="0" fillId="0" borderId="0" xfId="0" applyBorder="1"/>
    <xf numFmtId="170" fontId="0" fillId="0" borderId="0" xfId="0" applyNumberFormat="1" applyBorder="1"/>
    <xf numFmtId="8" fontId="0" fillId="0" borderId="5" xfId="0" applyNumberFormat="1" applyBorder="1"/>
    <xf numFmtId="0" fontId="0" fillId="0" borderId="6" xfId="0" applyBorder="1"/>
    <xf numFmtId="0" fontId="0" fillId="0" borderId="7" xfId="0" applyBorder="1"/>
    <xf numFmtId="170" fontId="0" fillId="0" borderId="7" xfId="0" applyNumberFormat="1" applyBorder="1"/>
    <xf numFmtId="8" fontId="0" fillId="0" borderId="8" xfId="0" applyNumberFormat="1" applyBorder="1"/>
    <xf numFmtId="0" fontId="0" fillId="0" borderId="10" xfId="0" applyBorder="1"/>
    <xf numFmtId="170" fontId="0" fillId="0" borderId="10" xfId="0" applyNumberFormat="1" applyBorder="1"/>
    <xf numFmtId="170" fontId="2" fillId="0" borderId="0" xfId="0" applyNumberFormat="1" applyFont="1" applyAlignment="1">
      <alignment horizontal="center" vertical="center" wrapText="1"/>
    </xf>
    <xf numFmtId="8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8" fontId="2" fillId="0" borderId="0" xfId="0" applyNumberFormat="1" applyFont="1"/>
    <xf numFmtId="0" fontId="2" fillId="0" borderId="1" xfId="0" applyFont="1" applyBorder="1"/>
    <xf numFmtId="8" fontId="4" fillId="0" borderId="11" xfId="0" applyNumberFormat="1" applyFont="1" applyBorder="1"/>
    <xf numFmtId="0" fontId="2" fillId="0" borderId="9" xfId="0" applyFont="1" applyBorder="1"/>
    <xf numFmtId="0" fontId="2" fillId="0" borderId="9" xfId="0" applyFont="1" applyBorder="1" applyAlignment="1">
      <alignment vertical="top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8" fontId="0" fillId="0" borderId="1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70" fontId="0" fillId="0" borderId="0" xfId="0" applyNumberFormat="1" applyBorder="1" applyAlignment="1">
      <alignment vertical="center"/>
    </xf>
    <xf numFmtId="8" fontId="0" fillId="0" borderId="5" xfId="0" applyNumberForma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3" xfId="0" applyBorder="1" applyAlignment="1">
      <alignment horizontal="center" vertical="center" textRotation="45"/>
    </xf>
    <xf numFmtId="0" fontId="0" fillId="0" borderId="5" xfId="0" applyBorder="1" applyAlignment="1">
      <alignment horizontal="center" vertical="center" textRotation="45"/>
    </xf>
    <xf numFmtId="0" fontId="0" fillId="0" borderId="8" xfId="0" applyBorder="1" applyAlignment="1">
      <alignment horizontal="center" vertical="center" textRotation="45"/>
    </xf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0" fontId="2" fillId="0" borderId="12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0" fillId="0" borderId="3" xfId="0" applyBorder="1"/>
    <xf numFmtId="0" fontId="0" fillId="0" borderId="8" xfId="0" applyBorder="1"/>
    <xf numFmtId="0" fontId="0" fillId="0" borderId="5" xfId="0" applyBorder="1" applyAlignment="1"/>
    <xf numFmtId="0" fontId="0" fillId="0" borderId="8" xfId="0" applyBorder="1" applyAlignment="1"/>
    <xf numFmtId="44" fontId="2" fillId="0" borderId="9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0" fontId="2" fillId="0" borderId="0" xfId="0" applyFont="1" applyAlignment="1">
      <alignment wrapText="1"/>
    </xf>
    <xf numFmtId="0" fontId="3" fillId="0" borderId="2" xfId="3" applyBorder="1"/>
    <xf numFmtId="0" fontId="3" fillId="0" borderId="0" xfId="3" applyBorder="1"/>
    <xf numFmtId="0" fontId="3" fillId="0" borderId="7" xfId="3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lculator.s3.amazonaws.com/index.html" TargetMode="External"/><Relationship Id="rId2" Type="http://schemas.openxmlformats.org/officeDocument/2006/relationships/hyperlink" Target="https://aws.amazon.com/eks/pricing/" TargetMode="External"/><Relationship Id="rId1" Type="http://schemas.openxmlformats.org/officeDocument/2006/relationships/hyperlink" Target="https://aws.amazon.com/ec2/spot/pricing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E91A-3C52-4C6F-8946-C08A8D7C0262}">
  <dimension ref="O1:Y56"/>
  <sheetViews>
    <sheetView tabSelected="1" topLeftCell="M10" workbookViewId="0">
      <selection activeCell="R24" sqref="R24"/>
    </sheetView>
  </sheetViews>
  <sheetFormatPr defaultRowHeight="14.5" x14ac:dyDescent="0.35"/>
  <cols>
    <col min="15" max="15" width="13.6328125" bestFit="1" customWidth="1"/>
    <col min="16" max="16" width="11.08984375" customWidth="1"/>
    <col min="17" max="17" width="31.90625" customWidth="1"/>
    <col min="18" max="18" width="27.90625" bestFit="1" customWidth="1"/>
    <col min="19" max="19" width="14.1796875" customWidth="1"/>
    <col min="20" max="20" width="13.1796875" customWidth="1"/>
    <col min="21" max="21" width="8.6328125" bestFit="1" customWidth="1"/>
    <col min="22" max="22" width="13.81640625" customWidth="1"/>
    <col min="23" max="23" width="9.81640625" customWidth="1"/>
    <col min="24" max="24" width="14.1796875" customWidth="1"/>
    <col min="25" max="25" width="62.1796875" customWidth="1"/>
  </cols>
  <sheetData>
    <row r="1" spans="16:25" ht="43.5" x14ac:dyDescent="0.35">
      <c r="P1" s="28" t="s">
        <v>49</v>
      </c>
      <c r="Q1" s="28" t="s">
        <v>50</v>
      </c>
      <c r="R1" s="28" t="s">
        <v>51</v>
      </c>
      <c r="S1" s="28" t="s">
        <v>52</v>
      </c>
      <c r="T1" s="28" t="s">
        <v>53</v>
      </c>
      <c r="U1" s="16" t="s">
        <v>35</v>
      </c>
      <c r="V1" s="16" t="s">
        <v>34</v>
      </c>
      <c r="X1" s="17" t="s">
        <v>37</v>
      </c>
    </row>
    <row r="2" spans="16:25" x14ac:dyDescent="0.35">
      <c r="P2" s="20" t="s">
        <v>0</v>
      </c>
      <c r="Q2" s="3" t="s">
        <v>18</v>
      </c>
      <c r="R2" s="3" t="s">
        <v>2</v>
      </c>
      <c r="S2" s="3" t="s">
        <v>6</v>
      </c>
      <c r="T2" s="3" t="s">
        <v>8</v>
      </c>
      <c r="U2" s="4"/>
      <c r="V2" s="4">
        <v>1.8800000000000001E-2</v>
      </c>
      <c r="W2" s="3"/>
      <c r="X2" s="5">
        <f>24*31*V2</f>
        <v>13.987200000000001</v>
      </c>
      <c r="Y2" t="s">
        <v>40</v>
      </c>
    </row>
    <row r="3" spans="16:25" x14ac:dyDescent="0.35">
      <c r="P3" s="6"/>
      <c r="Q3" s="7" t="s">
        <v>19</v>
      </c>
      <c r="R3" s="7" t="s">
        <v>3</v>
      </c>
      <c r="S3" s="7" t="s">
        <v>5</v>
      </c>
      <c r="T3" s="7" t="s">
        <v>7</v>
      </c>
      <c r="U3" s="8">
        <v>1.2500000000000001E-2</v>
      </c>
      <c r="V3" s="8"/>
      <c r="W3" s="7"/>
      <c r="X3" s="9">
        <f>24*31*U3</f>
        <v>9.3000000000000007</v>
      </c>
    </row>
    <row r="4" spans="16:25" x14ac:dyDescent="0.35">
      <c r="P4" s="6"/>
      <c r="Q4" s="7" t="s">
        <v>19</v>
      </c>
      <c r="R4" s="7" t="s">
        <v>4</v>
      </c>
      <c r="S4" s="7" t="s">
        <v>5</v>
      </c>
      <c r="T4" s="7" t="s">
        <v>7</v>
      </c>
      <c r="U4" s="8">
        <v>1.2500000000000001E-2</v>
      </c>
      <c r="V4" s="8"/>
      <c r="W4" s="7"/>
      <c r="X4" s="9">
        <f>24*31*U4</f>
        <v>9.3000000000000007</v>
      </c>
    </row>
    <row r="5" spans="16:25" x14ac:dyDescent="0.35">
      <c r="P5" s="6"/>
      <c r="Q5" s="7"/>
      <c r="R5" s="7"/>
      <c r="S5" s="7"/>
      <c r="T5" s="7"/>
      <c r="U5" s="8"/>
      <c r="V5" s="8"/>
      <c r="W5" s="7"/>
      <c r="X5" s="9"/>
    </row>
    <row r="6" spans="16:25" x14ac:dyDescent="0.35">
      <c r="P6" s="6"/>
      <c r="Q6" s="7" t="s">
        <v>24</v>
      </c>
      <c r="R6" s="7" t="s">
        <v>22</v>
      </c>
      <c r="S6" s="7"/>
      <c r="T6" s="7"/>
      <c r="U6" s="8"/>
      <c r="V6" s="8"/>
      <c r="W6" s="7"/>
      <c r="X6" s="9">
        <v>16</v>
      </c>
    </row>
    <row r="7" spans="16:25" x14ac:dyDescent="0.35">
      <c r="P7" s="10"/>
      <c r="Q7" s="11" t="s">
        <v>25</v>
      </c>
      <c r="R7" s="11" t="s">
        <v>23</v>
      </c>
      <c r="S7" s="11"/>
      <c r="T7" s="11"/>
      <c r="U7" s="12"/>
      <c r="V7" s="12"/>
      <c r="W7" s="11"/>
      <c r="X7" s="13">
        <v>16</v>
      </c>
    </row>
    <row r="8" spans="16:25" x14ac:dyDescent="0.35">
      <c r="U8" s="2"/>
      <c r="V8" s="2"/>
      <c r="X8" s="19">
        <f>SUM(X2:X7)</f>
        <v>64.587199999999996</v>
      </c>
    </row>
    <row r="9" spans="16:25" x14ac:dyDescent="0.35">
      <c r="U9" s="2"/>
      <c r="V9" s="2"/>
      <c r="X9" s="19"/>
    </row>
    <row r="10" spans="16:25" x14ac:dyDescent="0.35">
      <c r="U10" s="2"/>
      <c r="V10" s="2"/>
    </row>
    <row r="11" spans="16:25" x14ac:dyDescent="0.35">
      <c r="P11" s="20" t="s">
        <v>11</v>
      </c>
      <c r="Q11" s="3" t="s">
        <v>20</v>
      </c>
      <c r="R11" s="3" t="s">
        <v>12</v>
      </c>
      <c r="S11" s="3" t="s">
        <v>6</v>
      </c>
      <c r="T11" s="3" t="s">
        <v>8</v>
      </c>
      <c r="U11" s="4"/>
      <c r="V11" s="4">
        <v>1.8800000000000001E-2</v>
      </c>
      <c r="W11" s="3"/>
      <c r="X11" s="5">
        <f>24*31*V11</f>
        <v>13.987200000000001</v>
      </c>
    </row>
    <row r="12" spans="16:25" x14ac:dyDescent="0.35">
      <c r="P12" s="6"/>
      <c r="Q12" s="7" t="s">
        <v>21</v>
      </c>
      <c r="R12" s="7" t="s">
        <v>13</v>
      </c>
      <c r="S12" s="7" t="s">
        <v>5</v>
      </c>
      <c r="T12" s="7" t="s">
        <v>7</v>
      </c>
      <c r="U12" s="8">
        <v>1.2500000000000001E-2</v>
      </c>
      <c r="V12" s="8"/>
      <c r="W12" s="7"/>
      <c r="X12" s="9">
        <f>24*31*U12</f>
        <v>9.3000000000000007</v>
      </c>
    </row>
    <row r="13" spans="16:25" x14ac:dyDescent="0.35">
      <c r="P13" s="6"/>
      <c r="Q13" s="7"/>
      <c r="R13" s="7"/>
      <c r="S13" s="7"/>
      <c r="T13" s="7"/>
      <c r="U13" s="8"/>
      <c r="V13" s="8"/>
      <c r="W13" s="7"/>
      <c r="X13" s="9"/>
    </row>
    <row r="14" spans="16:25" ht="29" x14ac:dyDescent="0.35">
      <c r="P14" s="6"/>
      <c r="Q14" s="31" t="s">
        <v>25</v>
      </c>
      <c r="R14" s="31" t="s">
        <v>26</v>
      </c>
      <c r="S14" s="7"/>
      <c r="T14" s="7"/>
      <c r="U14" s="8"/>
      <c r="V14" s="8"/>
      <c r="W14" s="7"/>
      <c r="X14" s="9">
        <v>16</v>
      </c>
      <c r="Y14" s="18" t="s">
        <v>61</v>
      </c>
    </row>
    <row r="15" spans="16:25" x14ac:dyDescent="0.35">
      <c r="P15" s="10"/>
      <c r="Q15" s="11" t="s">
        <v>25</v>
      </c>
      <c r="R15" s="11" t="s">
        <v>27</v>
      </c>
      <c r="S15" s="11"/>
      <c r="T15" s="11"/>
      <c r="U15" s="12"/>
      <c r="V15" s="12"/>
      <c r="W15" s="11"/>
      <c r="X15" s="13">
        <v>16</v>
      </c>
    </row>
    <row r="16" spans="16:25" x14ac:dyDescent="0.35">
      <c r="U16" s="2"/>
      <c r="V16" s="2"/>
      <c r="X16" s="19">
        <f>SUM(X11:X15)</f>
        <v>55.287199999999999</v>
      </c>
    </row>
    <row r="17" spans="16:25" x14ac:dyDescent="0.35">
      <c r="U17" s="2"/>
      <c r="V17" s="2"/>
      <c r="X17" s="1"/>
    </row>
    <row r="18" spans="16:25" x14ac:dyDescent="0.35">
      <c r="U18" s="2"/>
      <c r="V18" s="2"/>
      <c r="X18" s="1"/>
    </row>
    <row r="19" spans="16:25" x14ac:dyDescent="0.35">
      <c r="P19" s="20" t="s">
        <v>14</v>
      </c>
      <c r="Q19" s="3" t="s">
        <v>20</v>
      </c>
      <c r="R19" s="3" t="s">
        <v>15</v>
      </c>
      <c r="S19" s="3" t="s">
        <v>6</v>
      </c>
      <c r="T19" s="3" t="s">
        <v>8</v>
      </c>
      <c r="U19" s="4"/>
      <c r="V19" s="4">
        <v>1.8800000000000001E-2</v>
      </c>
      <c r="W19" s="3"/>
      <c r="X19" s="5">
        <f>24*31*V19</f>
        <v>13.987200000000001</v>
      </c>
    </row>
    <row r="20" spans="16:25" x14ac:dyDescent="0.35">
      <c r="P20" s="6"/>
      <c r="Q20" s="7" t="s">
        <v>21</v>
      </c>
      <c r="R20" s="7" t="s">
        <v>16</v>
      </c>
      <c r="S20" s="7" t="s">
        <v>5</v>
      </c>
      <c r="T20" s="7" t="s">
        <v>7</v>
      </c>
      <c r="U20" s="8">
        <v>1.2500000000000001E-2</v>
      </c>
      <c r="V20" s="8"/>
      <c r="W20" s="7"/>
      <c r="X20" s="9">
        <f>24*31*U20</f>
        <v>9.3000000000000007</v>
      </c>
    </row>
    <row r="21" spans="16:25" x14ac:dyDescent="0.35">
      <c r="P21" s="6"/>
      <c r="Q21" s="7" t="s">
        <v>21</v>
      </c>
      <c r="R21" s="7" t="s">
        <v>17</v>
      </c>
      <c r="S21" s="7" t="s">
        <v>5</v>
      </c>
      <c r="T21" s="7" t="s">
        <v>7</v>
      </c>
      <c r="U21" s="8">
        <v>1.2500000000000001E-2</v>
      </c>
      <c r="V21" s="8"/>
      <c r="W21" s="7"/>
      <c r="X21" s="9">
        <f>24*31*U21</f>
        <v>9.3000000000000007</v>
      </c>
    </row>
    <row r="22" spans="16:25" x14ac:dyDescent="0.35">
      <c r="P22" s="6"/>
      <c r="Q22" s="7"/>
      <c r="R22" s="7"/>
      <c r="S22" s="7"/>
      <c r="T22" s="7"/>
      <c r="U22" s="8"/>
      <c r="V22" s="8"/>
      <c r="W22" s="7"/>
      <c r="X22" s="9"/>
    </row>
    <row r="23" spans="16:25" ht="29" x14ac:dyDescent="0.35">
      <c r="P23" s="6"/>
      <c r="Q23" s="31" t="s">
        <v>25</v>
      </c>
      <c r="R23" s="31" t="s">
        <v>26</v>
      </c>
      <c r="S23" s="31"/>
      <c r="T23" s="31"/>
      <c r="U23" s="32"/>
      <c r="V23" s="32"/>
      <c r="W23" s="31"/>
      <c r="X23" s="33">
        <v>16</v>
      </c>
      <c r="Y23" s="18" t="s">
        <v>61</v>
      </c>
    </row>
    <row r="24" spans="16:25" x14ac:dyDescent="0.35">
      <c r="P24" s="10"/>
      <c r="Q24" s="11" t="s">
        <v>25</v>
      </c>
      <c r="R24" s="11" t="s">
        <v>27</v>
      </c>
      <c r="S24" s="11"/>
      <c r="T24" s="11"/>
      <c r="U24" s="12"/>
      <c r="V24" s="12"/>
      <c r="W24" s="11"/>
      <c r="X24" s="13">
        <v>16</v>
      </c>
    </row>
    <row r="25" spans="16:25" x14ac:dyDescent="0.35">
      <c r="U25" s="2"/>
      <c r="V25" s="2"/>
      <c r="X25" s="19">
        <f>SUM(X19:X24)</f>
        <v>64.587199999999996</v>
      </c>
    </row>
    <row r="26" spans="16:25" x14ac:dyDescent="0.35">
      <c r="U26" s="2"/>
      <c r="V26" s="2"/>
      <c r="X26" s="1"/>
    </row>
    <row r="27" spans="16:25" x14ac:dyDescent="0.35">
      <c r="U27" s="2"/>
      <c r="V27" s="2"/>
      <c r="X27" s="1"/>
    </row>
    <row r="28" spans="16:25" x14ac:dyDescent="0.35">
      <c r="P28" s="22" t="s">
        <v>44</v>
      </c>
      <c r="Q28" s="14" t="s">
        <v>10</v>
      </c>
      <c r="R28" s="14" t="s">
        <v>9</v>
      </c>
      <c r="S28" s="14" t="s">
        <v>1</v>
      </c>
      <c r="T28" s="14" t="s">
        <v>8</v>
      </c>
      <c r="U28" s="15"/>
      <c r="V28" s="15">
        <v>3.7600000000000001E-2</v>
      </c>
      <c r="W28" s="14"/>
      <c r="X28" s="21">
        <f>24*31*V28</f>
        <v>27.974400000000003</v>
      </c>
      <c r="Y28" t="s">
        <v>41</v>
      </c>
    </row>
    <row r="29" spans="16:25" x14ac:dyDescent="0.35">
      <c r="X29" s="19">
        <f>SUM(X28)</f>
        <v>27.974400000000003</v>
      </c>
    </row>
    <row r="30" spans="16:25" x14ac:dyDescent="0.35">
      <c r="X30" s="1"/>
    </row>
    <row r="31" spans="16:25" x14ac:dyDescent="0.35">
      <c r="X31" s="1"/>
    </row>
    <row r="32" spans="16:25" ht="43.5" x14ac:dyDescent="0.35">
      <c r="P32" s="23" t="s">
        <v>28</v>
      </c>
      <c r="Q32" s="29" t="s">
        <v>30</v>
      </c>
      <c r="R32" s="29" t="s">
        <v>29</v>
      </c>
      <c r="S32" s="29" t="s">
        <v>31</v>
      </c>
      <c r="T32" s="29" t="s">
        <v>8</v>
      </c>
      <c r="U32" s="29"/>
      <c r="V32" s="29"/>
      <c r="W32" s="29"/>
      <c r="X32" s="30">
        <v>89.9</v>
      </c>
      <c r="Y32" s="18" t="s">
        <v>43</v>
      </c>
    </row>
    <row r="33" spans="15:24" x14ac:dyDescent="0.35">
      <c r="X33" s="19">
        <f>SUM(X32)</f>
        <v>89.9</v>
      </c>
    </row>
    <row r="34" spans="15:24" x14ac:dyDescent="0.35">
      <c r="X34" s="1"/>
    </row>
    <row r="35" spans="15:24" x14ac:dyDescent="0.35">
      <c r="X35" s="1"/>
    </row>
    <row r="36" spans="15:24" x14ac:dyDescent="0.35">
      <c r="P36" s="20" t="s">
        <v>32</v>
      </c>
      <c r="Q36" s="3" t="s">
        <v>33</v>
      </c>
      <c r="R36" s="3"/>
      <c r="S36" s="3"/>
      <c r="T36" s="3"/>
      <c r="U36" s="3"/>
      <c r="V36" s="3"/>
      <c r="W36" s="3"/>
      <c r="X36" s="5">
        <f>0.1*24*31</f>
        <v>74.400000000000006</v>
      </c>
    </row>
    <row r="37" spans="15:24" x14ac:dyDescent="0.35">
      <c r="P37" s="6"/>
      <c r="Q37" s="7" t="s">
        <v>19</v>
      </c>
      <c r="R37" s="7" t="s">
        <v>38</v>
      </c>
      <c r="S37" s="7"/>
      <c r="T37" s="7"/>
      <c r="U37" s="8">
        <v>1.2500000000000001E-2</v>
      </c>
      <c r="V37" s="7"/>
      <c r="W37" s="7"/>
      <c r="X37" s="9">
        <f>24*31*U37</f>
        <v>9.3000000000000007</v>
      </c>
    </row>
    <row r="38" spans="15:24" x14ac:dyDescent="0.35">
      <c r="P38" s="6"/>
      <c r="Q38" s="7" t="s">
        <v>19</v>
      </c>
      <c r="R38" s="7" t="s">
        <v>38</v>
      </c>
      <c r="S38" s="7"/>
      <c r="T38" s="7"/>
      <c r="U38" s="8">
        <v>1.2500000000000001E-2</v>
      </c>
      <c r="V38" s="7"/>
      <c r="W38" s="7"/>
      <c r="X38" s="9">
        <f>24*31*U38</f>
        <v>9.3000000000000007</v>
      </c>
    </row>
    <row r="39" spans="15:24" x14ac:dyDescent="0.35">
      <c r="P39" s="10"/>
      <c r="Q39" s="11" t="s">
        <v>25</v>
      </c>
      <c r="R39" s="11" t="s">
        <v>39</v>
      </c>
      <c r="S39" s="11"/>
      <c r="T39" s="11"/>
      <c r="U39" s="11"/>
      <c r="V39" s="11"/>
      <c r="W39" s="11"/>
      <c r="X39" s="13">
        <v>16</v>
      </c>
    </row>
    <row r="40" spans="15:24" x14ac:dyDescent="0.35">
      <c r="X40" s="19">
        <f>SUM(X36:X39)</f>
        <v>109</v>
      </c>
    </row>
    <row r="43" spans="15:24" ht="14.5" customHeight="1" x14ac:dyDescent="0.35">
      <c r="U43" s="44" t="s">
        <v>54</v>
      </c>
      <c r="V43" s="38" t="s">
        <v>57</v>
      </c>
      <c r="W43" s="3" t="s">
        <v>0</v>
      </c>
      <c r="X43" s="41">
        <f>$X$8</f>
        <v>64.587199999999996</v>
      </c>
    </row>
    <row r="44" spans="15:24" x14ac:dyDescent="0.35">
      <c r="O44" s="34" t="s">
        <v>42</v>
      </c>
      <c r="P44" s="54" t="s">
        <v>36</v>
      </c>
      <c r="Q44" s="47"/>
      <c r="U44" s="45"/>
      <c r="V44" s="39"/>
      <c r="W44" s="7" t="s">
        <v>11</v>
      </c>
      <c r="X44" s="42">
        <f>$X$16</f>
        <v>55.287199999999999</v>
      </c>
    </row>
    <row r="45" spans="15:24" x14ac:dyDescent="0.35">
      <c r="O45" s="35" t="s">
        <v>62</v>
      </c>
      <c r="P45" s="55" t="s">
        <v>63</v>
      </c>
      <c r="Q45" s="37"/>
      <c r="U45" s="45"/>
      <c r="V45" s="39"/>
      <c r="W45" s="7" t="s">
        <v>14</v>
      </c>
      <c r="X45" s="42">
        <f>$X$25</f>
        <v>64.587199999999996</v>
      </c>
    </row>
    <row r="46" spans="15:24" x14ac:dyDescent="0.35">
      <c r="O46" s="36" t="s">
        <v>64</v>
      </c>
      <c r="P46" s="56" t="s">
        <v>65</v>
      </c>
      <c r="Q46" s="48"/>
      <c r="U46" s="45"/>
      <c r="V46" s="39"/>
      <c r="W46" s="7" t="s">
        <v>55</v>
      </c>
      <c r="X46" s="42">
        <f>$X$29</f>
        <v>27.974400000000003</v>
      </c>
    </row>
    <row r="47" spans="15:24" x14ac:dyDescent="0.35">
      <c r="U47" s="45"/>
      <c r="V47" s="39"/>
      <c r="W47" s="11" t="s">
        <v>56</v>
      </c>
      <c r="X47" s="43">
        <f>$X$33</f>
        <v>89.9</v>
      </c>
    </row>
    <row r="48" spans="15:24" x14ac:dyDescent="0.35">
      <c r="U48" s="45"/>
      <c r="V48" s="40"/>
      <c r="W48" s="51">
        <f>SUM(X43:X47)</f>
        <v>302.33600000000001</v>
      </c>
      <c r="X48" s="52"/>
    </row>
    <row r="49" spans="21:24" x14ac:dyDescent="0.35">
      <c r="U49" s="45"/>
      <c r="V49" s="7"/>
      <c r="W49" s="7"/>
      <c r="X49" s="9"/>
    </row>
    <row r="50" spans="21:24" x14ac:dyDescent="0.35">
      <c r="U50" s="45"/>
      <c r="V50" s="47" t="s">
        <v>59</v>
      </c>
      <c r="W50" s="3" t="s">
        <v>0</v>
      </c>
      <c r="X50" s="41">
        <f>$X$8-$X$8</f>
        <v>0</v>
      </c>
    </row>
    <row r="51" spans="21:24" x14ac:dyDescent="0.35">
      <c r="U51" s="45"/>
      <c r="V51" s="37" t="s">
        <v>60</v>
      </c>
      <c r="W51" s="7" t="s">
        <v>11</v>
      </c>
      <c r="X51" s="42">
        <f>$X$16-$X$14</f>
        <v>39.287199999999999</v>
      </c>
    </row>
    <row r="52" spans="21:24" x14ac:dyDescent="0.35">
      <c r="U52" s="45"/>
      <c r="V52" s="37" t="s">
        <v>60</v>
      </c>
      <c r="W52" s="7" t="s">
        <v>14</v>
      </c>
      <c r="X52" s="42">
        <f>$X$25-$X$23</f>
        <v>48.587199999999996</v>
      </c>
    </row>
    <row r="53" spans="21:24" x14ac:dyDescent="0.35">
      <c r="U53" s="45"/>
      <c r="V53" s="37" t="s">
        <v>59</v>
      </c>
      <c r="W53" s="7" t="s">
        <v>55</v>
      </c>
      <c r="X53" s="42">
        <f>$X$29-$X$29</f>
        <v>0</v>
      </c>
    </row>
    <row r="54" spans="21:24" x14ac:dyDescent="0.35">
      <c r="U54" s="45"/>
      <c r="V54" s="49" t="s">
        <v>58</v>
      </c>
      <c r="W54" s="11" t="s">
        <v>56</v>
      </c>
      <c r="X54" s="43">
        <v>26.36</v>
      </c>
    </row>
    <row r="55" spans="21:24" x14ac:dyDescent="0.35">
      <c r="U55" s="45"/>
      <c r="V55" s="50"/>
      <c r="W55" s="51">
        <f>SUM(X50:X54)</f>
        <v>114.23439999999999</v>
      </c>
      <c r="X55" s="52"/>
    </row>
    <row r="56" spans="21:24" x14ac:dyDescent="0.35">
      <c r="U56" s="46"/>
      <c r="V56" s="11"/>
      <c r="W56" s="11"/>
      <c r="X56" s="48"/>
    </row>
  </sheetData>
  <mergeCells count="4">
    <mergeCell ref="W55:X55"/>
    <mergeCell ref="W48:X48"/>
    <mergeCell ref="V43:V48"/>
    <mergeCell ref="U43:U56"/>
  </mergeCells>
  <hyperlinks>
    <hyperlink ref="P44" r:id="rId1" xr:uid="{38E84D43-654C-47BB-AF91-40BA0486C515}"/>
    <hyperlink ref="P45" r:id="rId2" xr:uid="{84E48226-2242-40D9-8283-A515CF6B6576}"/>
    <hyperlink ref="P46" r:id="rId3" xr:uid="{D1A78F2D-3F21-48FD-8909-362A1E99B8EC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DB28-06ED-443D-87B9-EADC9F07C6A4}">
  <dimension ref="A1:F16"/>
  <sheetViews>
    <sheetView workbookViewId="0">
      <selection activeCell="H8" sqref="H8"/>
    </sheetView>
  </sheetViews>
  <sheetFormatPr defaultRowHeight="14.5" x14ac:dyDescent="0.35"/>
  <cols>
    <col min="1" max="1" width="28.6328125" customWidth="1"/>
    <col min="2" max="2" width="12.6328125" customWidth="1"/>
    <col min="3" max="3" width="13.7265625" customWidth="1"/>
    <col min="6" max="6" width="9.36328125" customWidth="1"/>
  </cols>
  <sheetData>
    <row r="1" spans="1:6" x14ac:dyDescent="0.35">
      <c r="B1" s="28" t="s">
        <v>32</v>
      </c>
      <c r="C1" s="28" t="s">
        <v>46</v>
      </c>
      <c r="D1" s="28"/>
      <c r="E1" s="28" t="s">
        <v>47</v>
      </c>
      <c r="F1" s="28" t="s">
        <v>48</v>
      </c>
    </row>
    <row r="2" spans="1:6" ht="29" x14ac:dyDescent="0.35">
      <c r="A2" s="53" t="s">
        <v>45</v>
      </c>
      <c r="B2" s="24">
        <f>'general calculation'!$X$40</f>
        <v>109</v>
      </c>
      <c r="C2" s="24">
        <f>'general calculation'!$X$25+'general calculation'!$X$33/2</f>
        <v>109.5372</v>
      </c>
      <c r="D2" s="25"/>
      <c r="E2" s="26">
        <f>B2-C2</f>
        <v>-0.53719999999999857</v>
      </c>
      <c r="F2" s="27">
        <f>E2/B2</f>
        <v>-4.9284403669724638E-3</v>
      </c>
    </row>
    <row r="3" spans="1:6" x14ac:dyDescent="0.35">
      <c r="A3" s="18"/>
      <c r="B3" s="24"/>
      <c r="C3" s="24"/>
      <c r="D3" s="25"/>
      <c r="E3" s="25"/>
      <c r="F3" s="25"/>
    </row>
    <row r="4" spans="1:6" ht="29" x14ac:dyDescent="0.35">
      <c r="A4" s="18" t="s">
        <v>67</v>
      </c>
      <c r="B4" s="24">
        <f>'general calculation'!$X$40</f>
        <v>109</v>
      </c>
      <c r="C4" s="24">
        <f>'general calculation'!$X$25+26.36/2</f>
        <v>77.767200000000003</v>
      </c>
      <c r="D4" s="25"/>
      <c r="E4" s="26">
        <f>B4-C4</f>
        <v>31.232799999999997</v>
      </c>
      <c r="F4" s="27">
        <f>E4/B4</f>
        <v>0.28653944954128441</v>
      </c>
    </row>
    <row r="5" spans="1:6" x14ac:dyDescent="0.35">
      <c r="B5" s="25"/>
      <c r="C5" s="25"/>
      <c r="D5" s="25"/>
      <c r="E5" s="25"/>
      <c r="F5" s="25"/>
    </row>
    <row r="6" spans="1:6" ht="43.5" x14ac:dyDescent="0.35">
      <c r="A6" s="18" t="s">
        <v>66</v>
      </c>
      <c r="B6" s="24">
        <f>'general calculation'!$X$40</f>
        <v>109</v>
      </c>
      <c r="C6" s="24">
        <f>'general calculation'!$X$25+26.36/2-'general calculation'!$X$23</f>
        <v>61.767200000000003</v>
      </c>
      <c r="D6" s="25"/>
      <c r="E6" s="26">
        <f>B6-C6</f>
        <v>47.232799999999997</v>
      </c>
      <c r="F6" s="27">
        <f>E6/B6</f>
        <v>0.43332844036697243</v>
      </c>
    </row>
    <row r="7" spans="1:6" x14ac:dyDescent="0.35">
      <c r="A7" s="18"/>
      <c r="B7" s="24"/>
      <c r="C7" s="24"/>
      <c r="D7" s="25"/>
      <c r="E7" s="25"/>
      <c r="F7" s="25"/>
    </row>
    <row r="8" spans="1:6" ht="43.5" x14ac:dyDescent="0.35">
      <c r="A8" s="18" t="s">
        <v>68</v>
      </c>
      <c r="B8" s="24">
        <f>'general calculation'!$X$36+'general calculation'!$X$37*10+'general calculation'!$X$39</f>
        <v>183.4</v>
      </c>
      <c r="C8" s="24">
        <f>'general calculation'!$X$19+'general calculation'!$X$23+'general calculation'!$X$24+'general calculation'!$X$20*10-'general calculation'!$X$23+26.36/2</f>
        <v>136.16720000000001</v>
      </c>
      <c r="D8" s="25"/>
      <c r="E8" s="26">
        <f>B8-C8</f>
        <v>47.232799999999997</v>
      </c>
      <c r="F8" s="27">
        <f>E8/B8</f>
        <v>0.2575398037077426</v>
      </c>
    </row>
    <row r="9" spans="1:6" x14ac:dyDescent="0.35">
      <c r="B9" s="25"/>
      <c r="C9" s="25"/>
      <c r="D9" s="25"/>
      <c r="E9" s="25"/>
      <c r="F9" s="25"/>
    </row>
    <row r="10" spans="1:6" ht="43.5" x14ac:dyDescent="0.35">
      <c r="A10" s="18" t="s">
        <v>69</v>
      </c>
      <c r="B10" s="24">
        <f>'general calculation'!$X$36+'general calculation'!$X$37*20+'general calculation'!$X$39</f>
        <v>276.39999999999998</v>
      </c>
      <c r="C10" s="24">
        <f>'general calculation'!$X$19+'general calculation'!$X$23+'general calculation'!$X$24+'general calculation'!$X$20*20-'general calculation'!$X$23+26.36/2</f>
        <v>229.16720000000001</v>
      </c>
      <c r="D10" s="25"/>
      <c r="E10" s="26">
        <f>B10-C10</f>
        <v>47.232799999999969</v>
      </c>
      <c r="F10" s="27">
        <f>E10/B10</f>
        <v>0.17088567293777124</v>
      </c>
    </row>
    <row r="11" spans="1:6" x14ac:dyDescent="0.35">
      <c r="B11" s="25"/>
      <c r="C11" s="25"/>
      <c r="D11" s="25"/>
      <c r="E11" s="25"/>
      <c r="F11" s="25"/>
    </row>
    <row r="12" spans="1:6" ht="43.5" x14ac:dyDescent="0.35">
      <c r="A12" s="18" t="s">
        <v>70</v>
      </c>
      <c r="B12" s="24">
        <f>'general calculation'!$X$36+'general calculation'!$X$37*30+'general calculation'!$X$39</f>
        <v>369.4</v>
      </c>
      <c r="C12" s="24">
        <f>'general calculation'!$X$19+'general calculation'!$X$23+'general calculation'!$X$24+'general calculation'!$X$20*30-'general calculation'!$X$23+26.36/2</f>
        <v>322.16720000000004</v>
      </c>
      <c r="D12" s="25"/>
      <c r="E12" s="26">
        <f>B12-C12</f>
        <v>47.232799999999941</v>
      </c>
      <c r="F12" s="27">
        <f>E12/B12</f>
        <v>0.12786356253383852</v>
      </c>
    </row>
    <row r="13" spans="1:6" x14ac:dyDescent="0.35">
      <c r="B13" s="25"/>
      <c r="C13" s="25"/>
      <c r="D13" s="25"/>
      <c r="E13" s="25"/>
      <c r="F13" s="25"/>
    </row>
    <row r="14" spans="1:6" ht="43.5" x14ac:dyDescent="0.35">
      <c r="A14" s="18" t="s">
        <v>71</v>
      </c>
      <c r="B14" s="24">
        <f>'general calculation'!$X$36+'general calculation'!$X$37*40+'general calculation'!$X$39</f>
        <v>462.4</v>
      </c>
      <c r="C14" s="24">
        <f>'general calculation'!$X$19+'general calculation'!$X$23+'general calculation'!$X$24+'general calculation'!$X$20*40-'general calculation'!$X$23+26.36/2</f>
        <v>415.16720000000004</v>
      </c>
      <c r="D14" s="25"/>
      <c r="E14" s="26">
        <f>B14-C14</f>
        <v>47.232799999999941</v>
      </c>
      <c r="F14" s="27">
        <f>E14/B14</f>
        <v>0.10214705882352929</v>
      </c>
    </row>
    <row r="15" spans="1:6" x14ac:dyDescent="0.35">
      <c r="B15" s="25"/>
      <c r="C15" s="25"/>
      <c r="D15" s="25"/>
      <c r="E15" s="25"/>
      <c r="F15" s="25"/>
    </row>
    <row r="16" spans="1:6" ht="43.5" x14ac:dyDescent="0.35">
      <c r="A16" s="18" t="s">
        <v>72</v>
      </c>
      <c r="B16" s="24">
        <f>'general calculation'!$X$36+'general calculation'!$X$37*50+'general calculation'!$X$39</f>
        <v>555.40000000000009</v>
      </c>
      <c r="C16" s="24">
        <f>'general calculation'!$X$19+'general calculation'!$X$23+'general calculation'!$X$24+'general calculation'!$X$20*50-'general calculation'!$X$23+26.36/2</f>
        <v>508.16720000000004</v>
      </c>
      <c r="D16" s="25"/>
      <c r="E16" s="26">
        <f>B16-C16</f>
        <v>47.232800000000054</v>
      </c>
      <c r="F16" s="27">
        <f>E16/B16</f>
        <v>8.5042851998559682E-2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20BAA0A9DCFF4193E0029CA38CD79E" ma:contentTypeVersion="6" ma:contentTypeDescription="Create a new document." ma:contentTypeScope="" ma:versionID="7532e09ed4c5f7e8ed2a2439a2d40c27">
  <xsd:schema xmlns:xsd="http://www.w3.org/2001/XMLSchema" xmlns:xs="http://www.w3.org/2001/XMLSchema" xmlns:p="http://schemas.microsoft.com/office/2006/metadata/properties" xmlns:ns3="2f58b340-173e-41ba-9374-a0d89fc92008" xmlns:ns4="ffebc502-7436-474a-bede-2d189696837a" targetNamespace="http://schemas.microsoft.com/office/2006/metadata/properties" ma:root="true" ma:fieldsID="753dded70b490c82a87380f760751370" ns3:_="" ns4:_="">
    <xsd:import namespace="2f58b340-173e-41ba-9374-a0d89fc92008"/>
    <xsd:import namespace="ffebc502-7436-474a-bede-2d18969683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8b340-173e-41ba-9374-a0d89fc9200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ebc502-7436-474a-bede-2d18969683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870BB3-C0EA-4084-9C93-53FF5E105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8b340-173e-41ba-9374-a0d89fc92008"/>
    <ds:schemaRef ds:uri="ffebc502-7436-474a-bede-2d18969683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7DB80F-F950-4A55-B842-740F7E261F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608545-ED5D-43A3-BF85-B4835A6CCC7C}">
  <ds:schemaRefs>
    <ds:schemaRef ds:uri="2f58b340-173e-41ba-9374-a0d89fc92008"/>
    <ds:schemaRef ds:uri="http://purl.org/dc/elements/1.1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ffebc502-7436-474a-bede-2d189696837a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calculation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Kim</dc:creator>
  <cp:lastModifiedBy>Viacheslav Kim</cp:lastModifiedBy>
  <dcterms:created xsi:type="dcterms:W3CDTF">2020-03-20T06:32:29Z</dcterms:created>
  <dcterms:modified xsi:type="dcterms:W3CDTF">2020-03-20T09:39:44Z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0x010100EA20BAA0A9DCFF4193E0029CA38CD79E</vt:lpwstr>
  </property>
</Properties>
</file>