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ta\Desktop\courses\hardware_trojan\signal_analysis\"/>
    </mc:Choice>
  </mc:AlternateContent>
  <xr:revisionPtr revIDLastSave="0" documentId="13_ncr:1_{79394940-484B-4621-BB07-1A82793862CE}" xr6:coauthVersionLast="47" xr6:coauthVersionMax="47" xr10:uidLastSave="{00000000-0000-0000-0000-000000000000}"/>
  <bookViews>
    <workbookView xWindow="19090" yWindow="-110" windowWidth="16220" windowHeight="8500" activeTab="2" xr2:uid="{B61D4C2F-59C9-4927-92BF-B0D0BA29A4A6}"/>
  </bookViews>
  <sheets>
    <sheet name="工作表1" sheetId="1" r:id="rId1"/>
    <sheet name="工作表4" sheetId="4" r:id="rId2"/>
    <sheet name="Shuffl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5" l="1"/>
  <c r="J7" i="5"/>
  <c r="H8" i="5" s="1"/>
  <c r="J8" i="5"/>
  <c r="J10" i="5"/>
  <c r="J17" i="5"/>
  <c r="J18" i="5"/>
  <c r="J19" i="5"/>
  <c r="J20" i="5"/>
  <c r="J29" i="5"/>
  <c r="J30" i="5"/>
  <c r="J42" i="5"/>
  <c r="J6" i="5"/>
  <c r="G8" i="5"/>
  <c r="G9" i="5"/>
  <c r="G10" i="5"/>
  <c r="G11" i="5"/>
  <c r="J11" i="5" s="1"/>
  <c r="G12" i="5"/>
  <c r="J12" i="5" s="1"/>
  <c r="G13" i="5"/>
  <c r="J13" i="5" s="1"/>
  <c r="G16" i="5"/>
  <c r="J16" i="5" s="1"/>
  <c r="G17" i="5"/>
  <c r="G19" i="5"/>
  <c r="G20" i="5"/>
  <c r="G21" i="5"/>
  <c r="J21" i="5" s="1"/>
  <c r="G22" i="5"/>
  <c r="J22" i="5" s="1"/>
  <c r="G24" i="5"/>
  <c r="J24" i="5" s="1"/>
  <c r="G25" i="5"/>
  <c r="J25" i="5" s="1"/>
  <c r="G28" i="5"/>
  <c r="J28" i="5" s="1"/>
  <c r="G29" i="5"/>
  <c r="G31" i="5"/>
  <c r="G32" i="5"/>
  <c r="J32" i="5" s="1"/>
  <c r="G35" i="5"/>
  <c r="J35" i="5" s="1"/>
  <c r="G36" i="5"/>
  <c r="J36" i="5" s="1"/>
  <c r="G38" i="5"/>
  <c r="J38" i="5" s="1"/>
  <c r="G39" i="5"/>
  <c r="J39" i="5" s="1"/>
  <c r="I37" i="5"/>
  <c r="J37" i="5" s="1"/>
  <c r="I38" i="5"/>
  <c r="I39" i="5"/>
  <c r="I29" i="5"/>
  <c r="I30" i="5"/>
  <c r="I31" i="5"/>
  <c r="J31" i="5" s="1"/>
  <c r="I32" i="5"/>
  <c r="I35" i="5"/>
  <c r="I36" i="5"/>
  <c r="I20" i="5"/>
  <c r="I21" i="5"/>
  <c r="I22" i="5"/>
  <c r="I23" i="5"/>
  <c r="J23" i="5" s="1"/>
  <c r="I24" i="5"/>
  <c r="I25" i="5"/>
  <c r="I28" i="5"/>
  <c r="I16" i="5"/>
  <c r="I17" i="5"/>
  <c r="I18" i="5"/>
  <c r="I19" i="5"/>
  <c r="I12" i="5"/>
  <c r="I13" i="5"/>
  <c r="I11" i="5"/>
  <c r="I10" i="5"/>
  <c r="I9" i="5"/>
  <c r="J9" i="5" s="1"/>
  <c r="I8" i="5"/>
  <c r="Z45" i="5"/>
  <c r="Z44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8" i="5"/>
  <c r="M29" i="5"/>
  <c r="M30" i="5"/>
  <c r="M31" i="5"/>
  <c r="M32" i="5"/>
  <c r="M33" i="5"/>
  <c r="M35" i="5"/>
  <c r="M36" i="5"/>
  <c r="M37" i="5"/>
  <c r="M38" i="5"/>
  <c r="M39" i="5"/>
  <c r="M40" i="5"/>
  <c r="M41" i="5"/>
  <c r="M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8" i="5"/>
  <c r="L29" i="5"/>
  <c r="L30" i="5"/>
  <c r="L31" i="5"/>
  <c r="L32" i="5"/>
  <c r="L33" i="5"/>
  <c r="L35" i="5"/>
  <c r="L36" i="5"/>
  <c r="L37" i="5"/>
  <c r="L38" i="5"/>
  <c r="L39" i="5"/>
  <c r="L40" i="5"/>
  <c r="L41" i="5"/>
  <c r="L5" i="5"/>
  <c r="Z3" i="5"/>
  <c r="Y6" i="5"/>
  <c r="L3" i="5"/>
  <c r="K40" i="5"/>
  <c r="K33" i="5"/>
  <c r="K26" i="5"/>
  <c r="K14" i="5"/>
  <c r="K41" i="5"/>
  <c r="K15" i="5"/>
  <c r="K5" i="5"/>
  <c r="M3" i="5"/>
  <c r="N6" i="5"/>
  <c r="O6" i="5"/>
  <c r="N7" i="5"/>
  <c r="O7" i="5"/>
  <c r="N8" i="5"/>
  <c r="O8" i="5"/>
  <c r="N9" i="5"/>
  <c r="O9" i="5"/>
  <c r="N10" i="5"/>
  <c r="O10" i="5"/>
  <c r="N11" i="5"/>
  <c r="O11" i="5"/>
  <c r="N12" i="5"/>
  <c r="O12" i="5"/>
  <c r="N13" i="5"/>
  <c r="O13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8" i="5"/>
  <c r="O28" i="5"/>
  <c r="N29" i="5"/>
  <c r="O29" i="5"/>
  <c r="N30" i="5"/>
  <c r="O30" i="5"/>
  <c r="N31" i="5"/>
  <c r="O31" i="5"/>
  <c r="N32" i="5"/>
  <c r="O32" i="5"/>
  <c r="N33" i="5"/>
  <c r="O33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O5" i="5"/>
  <c r="N5" i="5"/>
  <c r="O3" i="5"/>
  <c r="N3" i="5"/>
  <c r="K3" i="5"/>
  <c r="K6" i="5"/>
  <c r="K7" i="5"/>
  <c r="K8" i="5"/>
  <c r="K9" i="5"/>
  <c r="K10" i="5"/>
  <c r="K11" i="5"/>
  <c r="K12" i="5"/>
  <c r="K13" i="5"/>
  <c r="K16" i="5"/>
  <c r="K17" i="5"/>
  <c r="K18" i="5"/>
  <c r="K19" i="5"/>
  <c r="K20" i="5"/>
  <c r="K21" i="5"/>
  <c r="K22" i="5"/>
  <c r="K23" i="5"/>
  <c r="K24" i="5"/>
  <c r="K25" i="5"/>
  <c r="K28" i="5"/>
  <c r="K29" i="5"/>
  <c r="K30" i="5"/>
  <c r="K31" i="5"/>
  <c r="K32" i="5"/>
  <c r="K35" i="5"/>
  <c r="K36" i="5"/>
  <c r="K37" i="5"/>
  <c r="K38" i="5"/>
  <c r="K39" i="5"/>
  <c r="Z5" i="5"/>
  <c r="Z4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Y3" i="5"/>
  <c r="Y42" i="5"/>
  <c r="Y4" i="5"/>
  <c r="Y5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8" i="5"/>
  <c r="Y29" i="5"/>
  <c r="Y30" i="5"/>
  <c r="Y31" i="5"/>
  <c r="Y32" i="5"/>
  <c r="Y33" i="5"/>
  <c r="Y35" i="5"/>
  <c r="Y36" i="5"/>
  <c r="Y37" i="5"/>
  <c r="Y38" i="5"/>
  <c r="Y39" i="5"/>
  <c r="Y40" i="5"/>
  <c r="Y41" i="5"/>
  <c r="Q2" i="4"/>
  <c r="B18" i="4"/>
  <c r="P42" i="4"/>
  <c r="R39" i="4"/>
  <c r="P39" i="4"/>
  <c r="R38" i="4"/>
  <c r="P38" i="4"/>
  <c r="R37" i="4"/>
  <c r="P37" i="4"/>
  <c r="R36" i="4"/>
  <c r="P36" i="4"/>
  <c r="R35" i="4"/>
  <c r="P35" i="4"/>
  <c r="R34" i="4"/>
  <c r="P34" i="4"/>
  <c r="R32" i="4"/>
  <c r="P32" i="4"/>
  <c r="R31" i="4"/>
  <c r="P31" i="4"/>
  <c r="R30" i="4"/>
  <c r="P30" i="4"/>
  <c r="R29" i="4"/>
  <c r="P29" i="4"/>
  <c r="R28" i="4"/>
  <c r="P28" i="4"/>
  <c r="R27" i="4"/>
  <c r="P27" i="4"/>
  <c r="Q4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40" i="4"/>
  <c r="R41" i="4"/>
  <c r="R2" i="4"/>
  <c r="P25" i="4"/>
  <c r="P8" i="4"/>
  <c r="P19" i="4"/>
  <c r="P24" i="4"/>
  <c r="P23" i="4"/>
  <c r="P21" i="4"/>
  <c r="P20" i="4"/>
  <c r="P18" i="4"/>
  <c r="P17" i="4"/>
  <c r="P15" i="4"/>
  <c r="P14" i="4"/>
  <c r="P12" i="4"/>
  <c r="P11" i="4"/>
  <c r="P9" i="4"/>
  <c r="P4" i="4"/>
  <c r="P22" i="4"/>
  <c r="P16" i="4"/>
  <c r="P10" i="4"/>
  <c r="P5" i="4"/>
  <c r="P2" i="4"/>
  <c r="P7" i="4"/>
  <c r="P6" i="4"/>
  <c r="P3" i="4"/>
  <c r="G4" i="1"/>
  <c r="G3" i="1"/>
  <c r="C3" i="1"/>
  <c r="D3" i="1" s="1"/>
  <c r="G2" i="1"/>
  <c r="C2" i="1"/>
  <c r="D2" i="1" s="1"/>
  <c r="J1" i="1"/>
  <c r="I1" i="1"/>
  <c r="E15" i="1"/>
  <c r="K7" i="1"/>
  <c r="K8" i="1"/>
  <c r="K9" i="1"/>
  <c r="K10" i="1"/>
  <c r="K11" i="1"/>
  <c r="K12" i="1"/>
  <c r="K13" i="1"/>
  <c r="K6" i="1"/>
  <c r="J7" i="1"/>
  <c r="J8" i="1"/>
  <c r="J9" i="1"/>
  <c r="J10" i="1"/>
  <c r="J11" i="1"/>
  <c r="J12" i="1"/>
  <c r="J13" i="1"/>
  <c r="J6" i="1"/>
  <c r="I7" i="1"/>
  <c r="I8" i="1"/>
  <c r="I9" i="1"/>
  <c r="I10" i="1"/>
  <c r="I11" i="1"/>
  <c r="I12" i="1"/>
  <c r="I13" i="1"/>
  <c r="I6" i="1"/>
  <c r="H7" i="1"/>
  <c r="H8" i="1"/>
  <c r="H9" i="1"/>
  <c r="H10" i="1"/>
  <c r="H11" i="1"/>
  <c r="H12" i="1"/>
  <c r="H13" i="1"/>
  <c r="H6" i="1"/>
  <c r="G7" i="1"/>
  <c r="G8" i="1"/>
  <c r="G9" i="1"/>
  <c r="G10" i="1"/>
  <c r="G11" i="1"/>
  <c r="G12" i="1"/>
  <c r="G13" i="1"/>
  <c r="G6" i="1"/>
  <c r="H9" i="5" l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Y43" i="5"/>
  <c r="Y44" i="5" s="1"/>
  <c r="L10" i="1"/>
  <c r="L7" i="1"/>
  <c r="L8" i="1"/>
  <c r="L6" i="1"/>
  <c r="L13" i="1"/>
  <c r="L12" i="1"/>
  <c r="K1" i="1"/>
  <c r="Y45" i="5" l="1"/>
  <c r="K2" i="1"/>
  <c r="C4" i="1"/>
  <c r="D4" i="1" s="1"/>
  <c r="L14" i="1"/>
  <c r="L15" i="1" l="1"/>
  <c r="L17" i="1"/>
  <c r="L18" i="1"/>
  <c r="L16" i="1"/>
</calcChain>
</file>

<file path=xl/sharedStrings.xml><?xml version="1.0" encoding="utf-8"?>
<sst xmlns="http://schemas.openxmlformats.org/spreadsheetml/2006/main" count="234" uniqueCount="133">
  <si>
    <r>
      <rPr>
        <sz val="12"/>
        <color theme="1"/>
        <rFont val="標楷體"/>
        <family val="4"/>
        <charset val="136"/>
      </rPr>
      <t>卷積層單元</t>
    </r>
    <phoneticPr fontId="1" type="noConversion"/>
  </si>
  <si>
    <r>
      <rPr>
        <sz val="12"/>
        <color theme="1"/>
        <rFont val="標楷體"/>
        <family val="4"/>
        <charset val="136"/>
      </rPr>
      <t>卷積核大小</t>
    </r>
    <phoneticPr fontId="1" type="noConversion"/>
  </si>
  <si>
    <r>
      <rPr>
        <sz val="12"/>
        <color theme="1"/>
        <rFont val="標楷體"/>
        <family val="4"/>
        <charset val="136"/>
      </rPr>
      <t>輸入通道</t>
    </r>
    <phoneticPr fontId="1" type="noConversion"/>
  </si>
  <si>
    <r>
      <rPr>
        <sz val="12"/>
        <color theme="1"/>
        <rFont val="標楷體"/>
        <family val="4"/>
        <charset val="136"/>
      </rPr>
      <t>輸入</t>
    </r>
    <r>
      <rPr>
        <sz val="12"/>
        <color theme="1"/>
        <rFont val="Times New Roman"/>
        <family val="1"/>
      </rPr>
      <t>X</t>
    </r>
    <phoneticPr fontId="1" type="noConversion"/>
  </si>
  <si>
    <r>
      <rPr>
        <sz val="12"/>
        <color theme="1"/>
        <rFont val="標楷體"/>
        <family val="4"/>
        <charset val="136"/>
      </rPr>
      <t>輸入</t>
    </r>
    <r>
      <rPr>
        <sz val="12"/>
        <color theme="1"/>
        <rFont val="Times New Roman"/>
        <family val="1"/>
      </rPr>
      <t>Y</t>
    </r>
    <phoneticPr fontId="1" type="noConversion"/>
  </si>
  <si>
    <r>
      <rPr>
        <sz val="12"/>
        <color theme="1"/>
        <rFont val="標楷體"/>
        <family val="4"/>
        <charset val="136"/>
      </rPr>
      <t>卷積核數量</t>
    </r>
    <phoneticPr fontId="1" type="noConversion"/>
  </si>
  <si>
    <t>Conv_Channel_MAX_Cnt</t>
    <phoneticPr fontId="1" type="noConversion"/>
  </si>
  <si>
    <t>Conv_X_MAX_Cnt</t>
    <phoneticPr fontId="1" type="noConversion"/>
  </si>
  <si>
    <t>Conv_Y_MAX_Cnt</t>
    <phoneticPr fontId="1" type="noConversion"/>
  </si>
  <si>
    <t>Kernel_MAX_Cnt</t>
    <phoneticPr fontId="1" type="noConversion"/>
  </si>
  <si>
    <t>CLK</t>
    <phoneticPr fontId="1" type="noConversion"/>
  </si>
  <si>
    <t>輸入通道</t>
    <phoneticPr fontId="1" type="noConversion"/>
  </si>
  <si>
    <t>輸出節點</t>
    <phoneticPr fontId="1" type="noConversion"/>
  </si>
  <si>
    <t>100MHz</t>
    <phoneticPr fontId="1" type="noConversion"/>
  </si>
  <si>
    <t>50MHz</t>
    <phoneticPr fontId="1" type="noConversion"/>
  </si>
  <si>
    <t>3*3</t>
    <phoneticPr fontId="1" type="noConversion"/>
  </si>
  <si>
    <r>
      <rPr>
        <sz val="12"/>
        <color theme="1"/>
        <rFont val="標楷體"/>
        <family val="4"/>
        <charset val="136"/>
      </rPr>
      <t>全連接層</t>
    </r>
    <phoneticPr fontId="1" type="noConversion"/>
  </si>
  <si>
    <r>
      <rPr>
        <sz val="12"/>
        <color theme="1"/>
        <rFont val="標楷體"/>
        <family val="4"/>
        <charset val="136"/>
      </rPr>
      <t>卷積層</t>
    </r>
    <phoneticPr fontId="1" type="noConversion"/>
  </si>
  <si>
    <t>計算通道</t>
    <phoneticPr fontId="1" type="noConversion"/>
  </si>
  <si>
    <t>Total CLK</t>
    <phoneticPr fontId="1" type="noConversion"/>
  </si>
  <si>
    <t>33MHz</t>
    <phoneticPr fontId="1" type="noConversion"/>
  </si>
  <si>
    <t>25MHz</t>
    <phoneticPr fontId="1" type="noConversion"/>
  </si>
  <si>
    <t>最大卷積核資料</t>
    <phoneticPr fontId="1" type="noConversion"/>
  </si>
  <si>
    <t>最大輸入資料</t>
    <phoneticPr fontId="1" type="noConversion"/>
  </si>
  <si>
    <t>最大輸出資料</t>
    <phoneticPr fontId="1" type="noConversion"/>
  </si>
  <si>
    <t>單通道卷積組數量</t>
    <phoneticPr fontId="1" type="noConversion"/>
  </si>
  <si>
    <r>
      <t>DSP</t>
    </r>
    <r>
      <rPr>
        <sz val="12"/>
        <color theme="1"/>
        <rFont val="標楷體"/>
        <family val="4"/>
        <charset val="136"/>
      </rPr>
      <t>數量</t>
    </r>
    <phoneticPr fontId="1" type="noConversion"/>
  </si>
  <si>
    <t>1CLK Width</t>
    <phoneticPr fontId="1" type="noConversion"/>
  </si>
  <si>
    <t>輸入Y</t>
    <phoneticPr fontId="1" type="noConversion"/>
  </si>
  <si>
    <t>輸入X</t>
    <phoneticPr fontId="1" type="noConversion"/>
  </si>
  <si>
    <t>步長</t>
    <phoneticPr fontId="1" type="noConversion"/>
  </si>
  <si>
    <t>輸出X</t>
    <phoneticPr fontId="1" type="noConversion"/>
  </si>
  <si>
    <t>輸出Y</t>
    <phoneticPr fontId="1" type="noConversion"/>
  </si>
  <si>
    <t>輸入Ch</t>
    <phoneticPr fontId="1" type="noConversion"/>
  </si>
  <si>
    <t>Kernel數</t>
    <phoneticPr fontId="1" type="noConversion"/>
  </si>
  <si>
    <t>輸出Ch</t>
    <phoneticPr fontId="1" type="noConversion"/>
  </si>
  <si>
    <t>流程</t>
  </si>
  <si>
    <t>PWConv</t>
    <phoneticPr fontId="1" type="noConversion"/>
  </si>
  <si>
    <t>DWConv</t>
    <phoneticPr fontId="1" type="noConversion"/>
  </si>
  <si>
    <t>MaxPool</t>
    <phoneticPr fontId="1" type="noConversion"/>
  </si>
  <si>
    <t>ADD</t>
    <phoneticPr fontId="1" type="noConversion"/>
  </si>
  <si>
    <t>FC</t>
    <phoneticPr fontId="1" type="noConversion"/>
  </si>
  <si>
    <t>AvgPool33</t>
    <phoneticPr fontId="1" type="noConversion"/>
  </si>
  <si>
    <t>AvgPool44</t>
    <phoneticPr fontId="1" type="noConversion"/>
  </si>
  <si>
    <t>流程種類</t>
    <phoneticPr fontId="1" type="noConversion"/>
  </si>
  <si>
    <t>簡介</t>
    <phoneticPr fontId="1" type="noConversion"/>
  </si>
  <si>
    <t>3*3 單通道卷積</t>
    <phoneticPr fontId="1" type="noConversion"/>
  </si>
  <si>
    <t>1*1 (分組)多通道卷積</t>
    <phoneticPr fontId="1" type="noConversion"/>
  </si>
  <si>
    <t>2*2 最大池化</t>
    <phoneticPr fontId="1" type="noConversion"/>
  </si>
  <si>
    <t>3*3 平均池化</t>
    <phoneticPr fontId="1" type="noConversion"/>
  </si>
  <si>
    <t>4*4 平均池化</t>
    <phoneticPr fontId="1" type="noConversion"/>
  </si>
  <si>
    <t>全連接層</t>
    <phoneticPr fontId="1" type="noConversion"/>
  </si>
  <si>
    <t>加法</t>
    <phoneticPr fontId="1" type="noConversion"/>
  </si>
  <si>
    <t>輸入X</t>
    <phoneticPr fontId="1" type="noConversion"/>
  </si>
  <si>
    <t>輸入Y</t>
    <phoneticPr fontId="1" type="noConversion"/>
  </si>
  <si>
    <t>輸入Ch</t>
    <phoneticPr fontId="1" type="noConversion"/>
  </si>
  <si>
    <t>並行通道</t>
    <phoneticPr fontId="1" type="noConversion"/>
  </si>
  <si>
    <t>DSP並行通道</t>
    <phoneticPr fontId="1" type="noConversion"/>
  </si>
  <si>
    <t>Total</t>
    <phoneticPr fontId="1" type="noConversion"/>
  </si>
  <si>
    <t>In Mem</t>
    <phoneticPr fontId="1" type="noConversion"/>
  </si>
  <si>
    <t>Out Mem</t>
    <phoneticPr fontId="1" type="noConversion"/>
  </si>
  <si>
    <t>精度</t>
    <phoneticPr fontId="1" type="noConversion"/>
  </si>
  <si>
    <t>Weight ROM</t>
    <phoneticPr fontId="1" type="noConversion"/>
  </si>
  <si>
    <t>單一RAM大小</t>
    <phoneticPr fontId="1" type="noConversion"/>
  </si>
  <si>
    <t>RAM 位寬</t>
    <phoneticPr fontId="1" type="noConversion"/>
  </si>
  <si>
    <t>RAM 深度</t>
    <phoneticPr fontId="1" type="noConversion"/>
  </si>
  <si>
    <t>PWConv16</t>
    <phoneticPr fontId="1" type="noConversion"/>
  </si>
  <si>
    <t>1*1 16通道卷積</t>
    <phoneticPr fontId="1" type="noConversion"/>
  </si>
  <si>
    <t>PWConv4</t>
    <phoneticPr fontId="1" type="noConversion"/>
  </si>
  <si>
    <t>1*1 4通道卷積</t>
    <phoneticPr fontId="1" type="noConversion"/>
  </si>
  <si>
    <t>PWConv8</t>
    <phoneticPr fontId="1" type="noConversion"/>
  </si>
  <si>
    <t>1*1 8通道卷積</t>
    <phoneticPr fontId="1" type="noConversion"/>
  </si>
  <si>
    <t>1*1 32通道卷積</t>
    <phoneticPr fontId="1" type="noConversion"/>
  </si>
  <si>
    <t>PWConv32</t>
    <phoneticPr fontId="1" type="noConversion"/>
  </si>
  <si>
    <t>DWConv_1</t>
    <phoneticPr fontId="1" type="noConversion"/>
  </si>
  <si>
    <t>3*3 單通道卷積、步長1</t>
    <phoneticPr fontId="1" type="noConversion"/>
  </si>
  <si>
    <t>DWConv_2</t>
    <phoneticPr fontId="1" type="noConversion"/>
  </si>
  <si>
    <t>3*3 單通道卷積、步長2</t>
    <phoneticPr fontId="1" type="noConversion"/>
  </si>
  <si>
    <t>AvgPool22</t>
    <phoneticPr fontId="1" type="noConversion"/>
  </si>
  <si>
    <t>2*2 平均池化</t>
    <phoneticPr fontId="1" type="noConversion"/>
  </si>
  <si>
    <t>並行處理</t>
    <phoneticPr fontId="1" type="noConversion"/>
  </si>
  <si>
    <t>3*3 最大池化，步長2</t>
    <phoneticPr fontId="1" type="noConversion"/>
  </si>
  <si>
    <t>Stage2</t>
    <phoneticPr fontId="1" type="noConversion"/>
  </si>
  <si>
    <t>Stage1</t>
    <phoneticPr fontId="1" type="noConversion"/>
  </si>
  <si>
    <t>Stage3</t>
    <phoneticPr fontId="1" type="noConversion"/>
  </si>
  <si>
    <t>GLOBAL_DW</t>
    <phoneticPr fontId="1" type="noConversion"/>
  </si>
  <si>
    <t>PW0</t>
    <phoneticPr fontId="1" type="noConversion"/>
  </si>
  <si>
    <t>DW0</t>
    <phoneticPr fontId="1" type="noConversion"/>
  </si>
  <si>
    <t>PW1</t>
    <phoneticPr fontId="1" type="noConversion"/>
  </si>
  <si>
    <t>PW2</t>
    <phoneticPr fontId="1" type="noConversion"/>
  </si>
  <si>
    <t>AVG_POOL0</t>
    <phoneticPr fontId="1" type="noConversion"/>
  </si>
  <si>
    <t>PW3</t>
    <phoneticPr fontId="1" type="noConversion"/>
  </si>
  <si>
    <t>DW1</t>
    <phoneticPr fontId="1" type="noConversion"/>
  </si>
  <si>
    <t>PW4</t>
    <phoneticPr fontId="1" type="noConversion"/>
  </si>
  <si>
    <t>PW5</t>
    <phoneticPr fontId="1" type="noConversion"/>
  </si>
  <si>
    <t>ADD0</t>
    <phoneticPr fontId="1" type="noConversion"/>
  </si>
  <si>
    <t>AVG_POOL1</t>
    <phoneticPr fontId="1" type="noConversion"/>
  </si>
  <si>
    <t>PW6</t>
    <phoneticPr fontId="1" type="noConversion"/>
  </si>
  <si>
    <t>PW7</t>
    <phoneticPr fontId="1" type="noConversion"/>
  </si>
  <si>
    <t>DW2</t>
    <phoneticPr fontId="1" type="noConversion"/>
  </si>
  <si>
    <t>PW8</t>
    <phoneticPr fontId="1" type="noConversion"/>
  </si>
  <si>
    <t>PW9</t>
    <phoneticPr fontId="1" type="noConversion"/>
  </si>
  <si>
    <t>PW10</t>
    <phoneticPr fontId="1" type="noConversion"/>
  </si>
  <si>
    <t>PW11</t>
    <phoneticPr fontId="1" type="noConversion"/>
  </si>
  <si>
    <t>DW3</t>
    <phoneticPr fontId="1" type="noConversion"/>
  </si>
  <si>
    <t>PW12</t>
    <phoneticPr fontId="1" type="noConversion"/>
  </si>
  <si>
    <t>PW13</t>
    <phoneticPr fontId="1" type="noConversion"/>
  </si>
  <si>
    <t>ADD1</t>
    <phoneticPr fontId="1" type="noConversion"/>
  </si>
  <si>
    <t>ADD2</t>
    <phoneticPr fontId="1" type="noConversion"/>
  </si>
  <si>
    <t>PW14</t>
    <phoneticPr fontId="1" type="noConversion"/>
  </si>
  <si>
    <t>PW15</t>
    <phoneticPr fontId="1" type="noConversion"/>
  </si>
  <si>
    <t>PW16</t>
    <phoneticPr fontId="1" type="noConversion"/>
  </si>
  <si>
    <t>PW17</t>
    <phoneticPr fontId="1" type="noConversion"/>
  </si>
  <si>
    <t>DW4</t>
    <phoneticPr fontId="1" type="noConversion"/>
  </si>
  <si>
    <t>PW18</t>
    <phoneticPr fontId="1" type="noConversion"/>
  </si>
  <si>
    <t>PW19</t>
    <phoneticPr fontId="1" type="noConversion"/>
  </si>
  <si>
    <t>PW20</t>
    <phoneticPr fontId="1" type="noConversion"/>
  </si>
  <si>
    <t>PW21</t>
    <phoneticPr fontId="1" type="noConversion"/>
  </si>
  <si>
    <t>ADD3</t>
    <phoneticPr fontId="1" type="noConversion"/>
  </si>
  <si>
    <t>AVG_POOL2</t>
    <phoneticPr fontId="1" type="noConversion"/>
  </si>
  <si>
    <t>DW5</t>
    <phoneticPr fontId="1" type="noConversion"/>
  </si>
  <si>
    <t>Stage_CNT</t>
    <phoneticPr fontId="1" type="noConversion"/>
  </si>
  <si>
    <t>Stage FSM</t>
    <phoneticPr fontId="1" type="noConversion"/>
  </si>
  <si>
    <t>Kernel_CNT</t>
    <phoneticPr fontId="1" type="noConversion"/>
  </si>
  <si>
    <t>InX</t>
    <phoneticPr fontId="1" type="noConversion"/>
  </si>
  <si>
    <t>InY</t>
    <phoneticPr fontId="1" type="noConversion"/>
  </si>
  <si>
    <t>OutX</t>
    <phoneticPr fontId="1" type="noConversion"/>
  </si>
  <si>
    <t>OutY</t>
    <phoneticPr fontId="1" type="noConversion"/>
  </si>
  <si>
    <t>IDLE</t>
    <phoneticPr fontId="1" type="noConversion"/>
  </si>
  <si>
    <t>每組列數</t>
    <phoneticPr fontId="1" type="noConversion"/>
  </si>
  <si>
    <t>offset</t>
    <phoneticPr fontId="1" type="noConversion"/>
  </si>
  <si>
    <t>總列數</t>
    <phoneticPr fontId="1" type="noConversion"/>
  </si>
  <si>
    <t>總組數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</si>
</sst>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 applyAlignment="1">
      <alignment horizontal="right" vertical="center"/>
    </xf>
    <xf numFmtId="0" fontId="2" fillId="10" borderId="1" xfId="0" applyFont="1" applyFill="1" applyBorder="1">
      <alignment vertical="center"/>
    </xf>
    <xf numFmtId="0" fontId="2" fillId="10" borderId="0" xfId="0" applyFont="1" applyFill="1" applyBorder="1">
      <alignment vertical="center"/>
    </xf>
    <xf numFmtId="0" fontId="0" fillId="10" borderId="1" xfId="0" applyFill="1" applyBorder="1">
      <alignment vertical="center"/>
    </xf>
    <xf numFmtId="0" fontId="0" fillId="10" borderId="0" xfId="0" applyFill="1" applyBorder="1">
      <alignment vertical="center"/>
    </xf>
    <xf numFmtId="0" fontId="2" fillId="10" borderId="1" xfId="0" applyFont="1" applyFill="1" applyBorder="1" applyAlignment="1">
      <alignment horizontal="right" vertical="center"/>
    </xf>
    <xf numFmtId="0" fontId="2" fillId="10" borderId="0" xfId="0" applyFont="1" applyFill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54</xdr:row>
      <xdr:rowOff>0</xdr:rowOff>
    </xdr:from>
    <xdr:to>
      <xdr:col>8</xdr:col>
      <xdr:colOff>304800</xdr:colOff>
      <xdr:row>55</xdr:row>
      <xdr:rowOff>106681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DDE2586-A4E9-3295-B25F-591AE8B1DCAA}"/>
            </a:ext>
          </a:extLst>
        </xdr:cNvPr>
        <xdr:cNvSpPr>
          <a:spLocks noChangeAspect="1" noChangeArrowheads="1"/>
        </xdr:cNvSpPr>
      </xdr:nvSpPr>
      <xdr:spPr bwMode="auto">
        <a:xfrm>
          <a:off x="8023860" y="11003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EDB0-1D28-463B-849C-E2A3F8685B52}">
  <dimension ref="A1:L37"/>
  <sheetViews>
    <sheetView zoomScale="85" zoomScaleNormal="85" workbookViewId="0">
      <selection activeCell="L14" sqref="L14"/>
    </sheetView>
  </sheetViews>
  <sheetFormatPr defaultColWidth="8.90625" defaultRowHeight="15.5" x14ac:dyDescent="0.4"/>
  <cols>
    <col min="1" max="1" width="15" style="1" customWidth="1"/>
    <col min="2" max="2" width="26.54296875" style="1" customWidth="1"/>
    <col min="3" max="3" width="10" style="1" customWidth="1"/>
    <col min="4" max="4" width="9.453125" style="1" customWidth="1"/>
    <col min="5" max="5" width="16.36328125" style="1" customWidth="1"/>
    <col min="6" max="6" width="12.54296875" style="1" customWidth="1"/>
    <col min="7" max="7" width="7.36328125" style="1" customWidth="1"/>
    <col min="8" max="8" width="24.6328125" style="1" customWidth="1"/>
    <col min="9" max="9" width="19.90625" style="1" customWidth="1"/>
    <col min="10" max="10" width="19.1796875" style="1" customWidth="1"/>
    <col min="11" max="11" width="17.54296875" style="1" customWidth="1"/>
    <col min="12" max="12" width="9.36328125" style="1" bestFit="1" customWidth="1"/>
    <col min="13" max="16384" width="8.90625" style="1"/>
  </cols>
  <sheetData>
    <row r="1" spans="1:12" ht="17" x14ac:dyDescent="0.4">
      <c r="B1" s="2" t="s">
        <v>0</v>
      </c>
      <c r="C1" s="4">
        <v>8</v>
      </c>
      <c r="D1" s="4">
        <v>4</v>
      </c>
      <c r="E1" s="4">
        <v>4</v>
      </c>
      <c r="F1" s="4">
        <v>4</v>
      </c>
      <c r="H1" s="3" t="s">
        <v>25</v>
      </c>
      <c r="I1" s="1">
        <f>(D1-4)/2+1</f>
        <v>1</v>
      </c>
      <c r="J1" s="1">
        <f>(E1-4)/2+1</f>
        <v>1</v>
      </c>
      <c r="K1" s="1">
        <f>I1*J1</f>
        <v>1</v>
      </c>
    </row>
    <row r="2" spans="1:12" ht="17" x14ac:dyDescent="0.4">
      <c r="B2" s="3" t="s">
        <v>23</v>
      </c>
      <c r="C2" s="1">
        <f>C1*D1*E1*16</f>
        <v>2048</v>
      </c>
      <c r="D2" s="1" t="str">
        <f>ROUND(C2/1000, 1)&amp;" KB"</f>
        <v>2 KB</v>
      </c>
      <c r="F2" s="1" t="s">
        <v>27</v>
      </c>
      <c r="G2" s="1">
        <f>4*16*16</f>
        <v>1024</v>
      </c>
      <c r="J2" s="1" t="s">
        <v>26</v>
      </c>
      <c r="K2" s="5">
        <f>K1*4*1*C1*F1</f>
        <v>128</v>
      </c>
    </row>
    <row r="3" spans="1:12" ht="17" x14ac:dyDescent="0.4">
      <c r="B3" s="3" t="s">
        <v>22</v>
      </c>
      <c r="C3" s="1">
        <f>C1*F1*9*16</f>
        <v>4608</v>
      </c>
      <c r="D3" s="1" t="str">
        <f t="shared" ref="D3:D4" si="0">ROUND(C3/1000, 1)&amp;" KB"</f>
        <v>4.6 KB</v>
      </c>
      <c r="F3" s="1" t="s">
        <v>27</v>
      </c>
      <c r="G3" s="1">
        <f>1*16*4*16</f>
        <v>1024</v>
      </c>
    </row>
    <row r="4" spans="1:12" ht="17" x14ac:dyDescent="0.4">
      <c r="B4" s="3" t="s">
        <v>24</v>
      </c>
      <c r="C4" s="1">
        <f>K1*F1*16</f>
        <v>64</v>
      </c>
      <c r="D4" s="1" t="str">
        <f t="shared" si="0"/>
        <v>0.1 KB</v>
      </c>
      <c r="G4" s="1">
        <f>4*16*4*16</f>
        <v>4096</v>
      </c>
    </row>
    <row r="5" spans="1:12" ht="17" x14ac:dyDescent="0.4">
      <c r="A5" s="2" t="s">
        <v>17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15</v>
      </c>
      <c r="H5" s="2" t="s">
        <v>6</v>
      </c>
      <c r="I5" s="2" t="s">
        <v>7</v>
      </c>
      <c r="J5" s="2" t="s">
        <v>8</v>
      </c>
      <c r="K5" s="2" t="s">
        <v>9</v>
      </c>
      <c r="L5" s="2" t="s">
        <v>10</v>
      </c>
    </row>
    <row r="6" spans="1:12" x14ac:dyDescent="0.4">
      <c r="A6" s="1">
        <v>1</v>
      </c>
      <c r="B6" s="1">
        <v>9</v>
      </c>
      <c r="C6" s="1">
        <v>1</v>
      </c>
      <c r="D6" s="5">
        <v>64</v>
      </c>
      <c r="E6" s="5">
        <v>64</v>
      </c>
      <c r="F6" s="1">
        <v>64</v>
      </c>
      <c r="G6" s="1" t="str">
        <f>IF(B6=9,"1'b1","1'b0")</f>
        <v>1'b1</v>
      </c>
      <c r="H6" s="1">
        <f t="shared" ref="H6:H13" si="1">ROUNDUP(C6/$C$1,0)</f>
        <v>1</v>
      </c>
      <c r="I6" s="1">
        <f t="shared" ref="I6:I13" si="2">ROUNDUP((D6-$D$1)/($D$1-2)+1,0)</f>
        <v>31</v>
      </c>
      <c r="J6" s="1">
        <f t="shared" ref="J6:J13" si="3">ROUNDUP((E6-$E$1)/($E$1-2)+1,0)</f>
        <v>31</v>
      </c>
      <c r="K6" s="1">
        <f t="shared" ref="K6:K13" si="4">ROUNDUP(F6/$F$1,0)</f>
        <v>16</v>
      </c>
      <c r="L6" s="1">
        <f>IF(G6="1'b1",9+1,1+1)*H6*I6*J6*K6+I6*J6*K6</f>
        <v>169136</v>
      </c>
    </row>
    <row r="7" spans="1:12" x14ac:dyDescent="0.4">
      <c r="A7" s="1">
        <v>2</v>
      </c>
      <c r="B7" s="1">
        <v>9</v>
      </c>
      <c r="C7" s="1">
        <v>64</v>
      </c>
      <c r="D7" s="5">
        <v>32</v>
      </c>
      <c r="E7" s="5">
        <v>32</v>
      </c>
      <c r="F7" s="1">
        <v>128</v>
      </c>
      <c r="G7" s="1" t="str">
        <f t="shared" ref="G7:G13" si="5">IF(B7=9,"1'b1","1'b0")</f>
        <v>1'b1</v>
      </c>
      <c r="H7" s="1">
        <f t="shared" si="1"/>
        <v>8</v>
      </c>
      <c r="I7" s="1">
        <f t="shared" si="2"/>
        <v>15</v>
      </c>
      <c r="J7" s="1">
        <f t="shared" si="3"/>
        <v>15</v>
      </c>
      <c r="K7" s="1">
        <f t="shared" si="4"/>
        <v>32</v>
      </c>
      <c r="L7" s="1">
        <f t="shared" ref="L7:L13" si="6">IF(G7="1'b1",9+1,1+1)*H7*I7*J7*K7+I7*J7*K7</f>
        <v>583200</v>
      </c>
    </row>
    <row r="8" spans="1:12" x14ac:dyDescent="0.4">
      <c r="A8" s="1">
        <v>3</v>
      </c>
      <c r="B8" s="1">
        <v>9</v>
      </c>
      <c r="C8" s="1">
        <v>128</v>
      </c>
      <c r="D8" s="5">
        <v>16</v>
      </c>
      <c r="E8" s="5">
        <v>16</v>
      </c>
      <c r="F8" s="1">
        <v>256</v>
      </c>
      <c r="G8" s="1" t="str">
        <f t="shared" si="5"/>
        <v>1'b1</v>
      </c>
      <c r="H8" s="1">
        <f t="shared" si="1"/>
        <v>16</v>
      </c>
      <c r="I8" s="1">
        <f t="shared" si="2"/>
        <v>7</v>
      </c>
      <c r="J8" s="1">
        <f t="shared" si="3"/>
        <v>7</v>
      </c>
      <c r="K8" s="1">
        <f t="shared" si="4"/>
        <v>64</v>
      </c>
      <c r="L8" s="1">
        <f t="shared" si="6"/>
        <v>504896</v>
      </c>
    </row>
    <row r="9" spans="1:12" x14ac:dyDescent="0.4">
      <c r="A9" s="1">
        <v>4</v>
      </c>
      <c r="B9" s="1">
        <v>9</v>
      </c>
      <c r="C9" s="1">
        <v>256</v>
      </c>
      <c r="D9" s="5">
        <v>16</v>
      </c>
      <c r="E9" s="5">
        <v>16</v>
      </c>
      <c r="F9" s="1">
        <v>256</v>
      </c>
      <c r="G9" s="1" t="str">
        <f t="shared" si="5"/>
        <v>1'b1</v>
      </c>
      <c r="H9" s="1">
        <f t="shared" si="1"/>
        <v>32</v>
      </c>
      <c r="I9" s="1">
        <f t="shared" si="2"/>
        <v>7</v>
      </c>
      <c r="J9" s="1">
        <f t="shared" si="3"/>
        <v>7</v>
      </c>
      <c r="K9" s="1">
        <f t="shared" si="4"/>
        <v>64</v>
      </c>
    </row>
    <row r="10" spans="1:12" x14ac:dyDescent="0.4">
      <c r="A10" s="1">
        <v>5</v>
      </c>
      <c r="B10" s="1">
        <v>9</v>
      </c>
      <c r="C10" s="1">
        <v>256</v>
      </c>
      <c r="D10" s="5">
        <v>8</v>
      </c>
      <c r="E10" s="5">
        <v>8</v>
      </c>
      <c r="F10" s="1">
        <v>256</v>
      </c>
      <c r="G10" s="1" t="str">
        <f t="shared" si="5"/>
        <v>1'b1</v>
      </c>
      <c r="H10" s="1">
        <f t="shared" si="1"/>
        <v>32</v>
      </c>
      <c r="I10" s="1">
        <f t="shared" si="2"/>
        <v>3</v>
      </c>
      <c r="J10" s="1">
        <f t="shared" si="3"/>
        <v>3</v>
      </c>
      <c r="K10" s="1">
        <f t="shared" si="4"/>
        <v>64</v>
      </c>
      <c r="L10" s="1">
        <f t="shared" si="6"/>
        <v>184896</v>
      </c>
    </row>
    <row r="11" spans="1:12" x14ac:dyDescent="0.4">
      <c r="A11" s="1">
        <v>6</v>
      </c>
      <c r="B11" s="1">
        <v>9</v>
      </c>
      <c r="C11" s="1">
        <v>256</v>
      </c>
      <c r="D11" s="5">
        <v>8</v>
      </c>
      <c r="E11" s="5">
        <v>8</v>
      </c>
      <c r="F11" s="1">
        <v>256</v>
      </c>
      <c r="G11" s="1" t="str">
        <f t="shared" si="5"/>
        <v>1'b1</v>
      </c>
      <c r="H11" s="1">
        <f t="shared" si="1"/>
        <v>32</v>
      </c>
      <c r="I11" s="1">
        <f t="shared" si="2"/>
        <v>3</v>
      </c>
      <c r="J11" s="1">
        <f t="shared" si="3"/>
        <v>3</v>
      </c>
      <c r="K11" s="1">
        <f t="shared" si="4"/>
        <v>64</v>
      </c>
    </row>
    <row r="12" spans="1:12" x14ac:dyDescent="0.4">
      <c r="A12" s="1">
        <v>7</v>
      </c>
      <c r="B12" s="1">
        <v>1</v>
      </c>
      <c r="C12" s="1">
        <v>256</v>
      </c>
      <c r="D12" s="5">
        <v>4</v>
      </c>
      <c r="E12" s="5">
        <v>4</v>
      </c>
      <c r="F12" s="1">
        <v>32</v>
      </c>
      <c r="G12" s="1" t="str">
        <f t="shared" si="5"/>
        <v>1'b0</v>
      </c>
      <c r="H12" s="1">
        <f t="shared" si="1"/>
        <v>32</v>
      </c>
      <c r="I12" s="1">
        <f t="shared" si="2"/>
        <v>1</v>
      </c>
      <c r="J12" s="1">
        <f t="shared" si="3"/>
        <v>1</v>
      </c>
      <c r="K12" s="1">
        <f t="shared" si="4"/>
        <v>8</v>
      </c>
      <c r="L12" s="1">
        <f t="shared" si="6"/>
        <v>520</v>
      </c>
    </row>
    <row r="13" spans="1:12" x14ac:dyDescent="0.4">
      <c r="A13" s="1">
        <v>8</v>
      </c>
      <c r="B13" s="1">
        <v>1</v>
      </c>
      <c r="C13" s="1">
        <v>32</v>
      </c>
      <c r="D13" s="5">
        <v>4</v>
      </c>
      <c r="E13" s="5">
        <v>4</v>
      </c>
      <c r="F13" s="1">
        <v>16</v>
      </c>
      <c r="G13" s="1" t="str">
        <f t="shared" si="5"/>
        <v>1'b0</v>
      </c>
      <c r="H13" s="1">
        <f t="shared" si="1"/>
        <v>4</v>
      </c>
      <c r="I13" s="1">
        <f t="shared" si="2"/>
        <v>1</v>
      </c>
      <c r="J13" s="1">
        <f t="shared" si="3"/>
        <v>1</v>
      </c>
      <c r="K13" s="1">
        <f t="shared" si="4"/>
        <v>4</v>
      </c>
      <c r="L13" s="1">
        <f t="shared" si="6"/>
        <v>36</v>
      </c>
    </row>
    <row r="14" spans="1:12" ht="17" x14ac:dyDescent="0.4">
      <c r="A14" s="2" t="s">
        <v>16</v>
      </c>
      <c r="B14" s="3" t="s">
        <v>11</v>
      </c>
      <c r="C14" s="3" t="s">
        <v>18</v>
      </c>
      <c r="D14" s="3" t="s">
        <v>12</v>
      </c>
      <c r="E14" s="2" t="s">
        <v>10</v>
      </c>
      <c r="K14" s="2" t="s">
        <v>19</v>
      </c>
      <c r="L14" s="1">
        <f>SUM(L6:L13,E15)</f>
        <v>1442756</v>
      </c>
    </row>
    <row r="15" spans="1:12" x14ac:dyDescent="0.4">
      <c r="B15" s="1">
        <v>576</v>
      </c>
      <c r="C15" s="1">
        <v>16</v>
      </c>
      <c r="D15" s="1">
        <v>2</v>
      </c>
      <c r="E15" s="1">
        <f>B15*D15/C15</f>
        <v>72</v>
      </c>
      <c r="K15" s="2" t="s">
        <v>13</v>
      </c>
      <c r="L15" s="4">
        <f>1000000/L14</f>
        <v>0.69311789380879374</v>
      </c>
    </row>
    <row r="16" spans="1:12" x14ac:dyDescent="0.4">
      <c r="K16" s="2" t="s">
        <v>14</v>
      </c>
      <c r="L16" s="4">
        <f>500000/L14</f>
        <v>0.34655894690439687</v>
      </c>
    </row>
    <row r="17" spans="2:12" x14ac:dyDescent="0.4">
      <c r="K17" s="2" t="s">
        <v>20</v>
      </c>
      <c r="L17" s="4">
        <f>330000/L14</f>
        <v>0.22872890495690193</v>
      </c>
    </row>
    <row r="18" spans="2:12" x14ac:dyDescent="0.4">
      <c r="C18" s="4"/>
      <c r="D18" s="4"/>
      <c r="E18" s="4"/>
      <c r="F18" s="4"/>
      <c r="K18" s="2" t="s">
        <v>21</v>
      </c>
      <c r="L18" s="4">
        <f>250000/L14</f>
        <v>0.17327947345219843</v>
      </c>
    </row>
    <row r="20" spans="2:12" ht="17" x14ac:dyDescent="0.4">
      <c r="C20" s="4"/>
      <c r="D20" s="4"/>
      <c r="E20" s="4"/>
      <c r="F20" s="4"/>
      <c r="H20" s="6"/>
    </row>
    <row r="21" spans="2:12" ht="17" x14ac:dyDescent="0.4">
      <c r="B21" s="6"/>
    </row>
    <row r="31" spans="2:12" ht="17" x14ac:dyDescent="0.4">
      <c r="B31" s="6"/>
      <c r="C31" s="6"/>
      <c r="D31" s="6"/>
    </row>
    <row r="36" spans="12:12" x14ac:dyDescent="0.4">
      <c r="L36" s="4"/>
    </row>
    <row r="37" spans="12:12" x14ac:dyDescent="0.4">
      <c r="L37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CB59-A821-44C9-8636-0961077A15C7}">
  <dimension ref="A1:R42"/>
  <sheetViews>
    <sheetView topLeftCell="C34" zoomScale="115" zoomScaleNormal="115" workbookViewId="0">
      <selection activeCell="P49" sqref="P49"/>
    </sheetView>
  </sheetViews>
  <sheetFormatPr defaultColWidth="8.90625" defaultRowHeight="17" x14ac:dyDescent="0.4"/>
  <cols>
    <col min="1" max="1" width="14" style="7" customWidth="1"/>
    <col min="2" max="2" width="22.90625" style="7" customWidth="1"/>
    <col min="3" max="6" width="8.90625" style="7"/>
    <col min="7" max="7" width="15.08984375" style="7" customWidth="1"/>
    <col min="8" max="10" width="8.90625" style="7"/>
    <col min="11" max="11" width="10.1796875" style="7" customWidth="1"/>
    <col min="12" max="16" width="8.90625" style="7"/>
    <col min="17" max="17" width="9.6328125" style="7" bestFit="1" customWidth="1"/>
    <col min="18" max="16384" width="8.90625" style="7"/>
  </cols>
  <sheetData>
    <row r="1" spans="1:18" x14ac:dyDescent="0.4">
      <c r="A1" s="6" t="s">
        <v>44</v>
      </c>
      <c r="B1" s="6" t="s">
        <v>45</v>
      </c>
      <c r="C1" s="6" t="s">
        <v>10</v>
      </c>
      <c r="D1" s="6"/>
      <c r="E1" s="6"/>
      <c r="F1" s="6"/>
      <c r="G1" s="7" t="s">
        <v>36</v>
      </c>
      <c r="H1" s="7" t="s">
        <v>53</v>
      </c>
      <c r="I1" s="7" t="s">
        <v>54</v>
      </c>
      <c r="J1" s="7" t="s">
        <v>55</v>
      </c>
      <c r="K1" s="6" t="s">
        <v>34</v>
      </c>
      <c r="L1" s="6" t="s">
        <v>30</v>
      </c>
      <c r="M1" s="6" t="s">
        <v>31</v>
      </c>
      <c r="N1" s="6" t="s">
        <v>32</v>
      </c>
      <c r="O1" s="6" t="s">
        <v>35</v>
      </c>
      <c r="P1" s="6" t="s">
        <v>10</v>
      </c>
      <c r="Q1" s="6" t="s">
        <v>59</v>
      </c>
      <c r="R1" s="6" t="s">
        <v>60</v>
      </c>
    </row>
    <row r="2" spans="1:18" x14ac:dyDescent="0.4">
      <c r="A2" s="6" t="s">
        <v>38</v>
      </c>
      <c r="B2" s="6" t="s">
        <v>46</v>
      </c>
      <c r="C2" s="6">
        <v>2</v>
      </c>
      <c r="D2" s="6"/>
      <c r="E2" s="6"/>
      <c r="F2" s="6"/>
      <c r="G2" s="8" t="s">
        <v>38</v>
      </c>
      <c r="H2" s="11">
        <v>64</v>
      </c>
      <c r="I2" s="11">
        <v>64</v>
      </c>
      <c r="J2" s="11">
        <v>1</v>
      </c>
      <c r="K2" s="11">
        <v>16</v>
      </c>
      <c r="L2" s="11">
        <v>2</v>
      </c>
      <c r="M2" s="11">
        <v>32</v>
      </c>
      <c r="N2" s="11">
        <v>32</v>
      </c>
      <c r="O2" s="11">
        <v>16</v>
      </c>
      <c r="P2" s="7">
        <f>M2*N2*(O2/$B$12)*($C$2+L2-1)</f>
        <v>12288</v>
      </c>
      <c r="Q2" s="7">
        <f>H2*I2*J2*16</f>
        <v>65536</v>
      </c>
      <c r="R2" s="7">
        <f>M2*N2*O2*$B$11</f>
        <v>262144</v>
      </c>
    </row>
    <row r="3" spans="1:18" x14ac:dyDescent="0.4">
      <c r="A3" s="6" t="s">
        <v>37</v>
      </c>
      <c r="B3" s="6" t="s">
        <v>47</v>
      </c>
      <c r="C3" s="6">
        <v>2</v>
      </c>
      <c r="D3" s="6"/>
      <c r="E3" s="6"/>
      <c r="F3" s="6"/>
      <c r="G3" s="8" t="s">
        <v>39</v>
      </c>
      <c r="H3" s="11">
        <v>32</v>
      </c>
      <c r="I3" s="11">
        <v>32</v>
      </c>
      <c r="J3" s="11">
        <v>16</v>
      </c>
      <c r="K3" s="11">
        <v>1</v>
      </c>
      <c r="L3" s="11">
        <v>2</v>
      </c>
      <c r="M3" s="11">
        <v>16</v>
      </c>
      <c r="N3" s="11">
        <v>16</v>
      </c>
      <c r="O3" s="11">
        <v>16</v>
      </c>
      <c r="P3" s="7">
        <f>M3*N3*O3*C4</f>
        <v>4096</v>
      </c>
      <c r="R3" s="7">
        <f t="shared" ref="R3:R25" si="0">M3*N3*O3*$B$11</f>
        <v>65536</v>
      </c>
    </row>
    <row r="4" spans="1:18" x14ac:dyDescent="0.4">
      <c r="A4" s="6" t="s">
        <v>39</v>
      </c>
      <c r="B4" s="6" t="s">
        <v>48</v>
      </c>
      <c r="C4" s="6">
        <v>1</v>
      </c>
      <c r="D4" s="6"/>
      <c r="E4" s="6"/>
      <c r="F4" s="6"/>
      <c r="G4" s="9" t="s">
        <v>37</v>
      </c>
      <c r="H4" s="11">
        <v>16</v>
      </c>
      <c r="I4" s="11">
        <v>16</v>
      </c>
      <c r="J4" s="11">
        <v>16</v>
      </c>
      <c r="K4" s="11">
        <v>8</v>
      </c>
      <c r="L4" s="11">
        <v>1</v>
      </c>
      <c r="M4" s="11">
        <v>16</v>
      </c>
      <c r="N4" s="11">
        <v>16</v>
      </c>
      <c r="O4" s="11">
        <v>8</v>
      </c>
      <c r="P4" s="7">
        <f>M4*N4*(O4/$B$12)*($C$3+L4-1)</f>
        <v>1024</v>
      </c>
      <c r="R4" s="7">
        <f t="shared" si="0"/>
        <v>32768</v>
      </c>
    </row>
    <row r="5" spans="1:18" x14ac:dyDescent="0.4">
      <c r="A5" s="6" t="s">
        <v>42</v>
      </c>
      <c r="B5" s="6" t="s">
        <v>49</v>
      </c>
      <c r="C5" s="6">
        <v>3</v>
      </c>
      <c r="D5" s="6"/>
      <c r="E5" s="6"/>
      <c r="F5" s="6"/>
      <c r="G5" s="9" t="s">
        <v>38</v>
      </c>
      <c r="H5" s="11">
        <v>16</v>
      </c>
      <c r="I5" s="11">
        <v>16</v>
      </c>
      <c r="J5" s="11">
        <v>8</v>
      </c>
      <c r="K5" s="11">
        <v>8</v>
      </c>
      <c r="L5" s="11">
        <v>2</v>
      </c>
      <c r="M5" s="11">
        <v>8</v>
      </c>
      <c r="N5" s="11">
        <v>8</v>
      </c>
      <c r="O5" s="11">
        <v>8</v>
      </c>
      <c r="P5" s="7">
        <f>M5*N5*(O5/$B$12)*($C$2+L5-1)</f>
        <v>384</v>
      </c>
      <c r="R5" s="7">
        <f t="shared" si="0"/>
        <v>8192</v>
      </c>
    </row>
    <row r="6" spans="1:18" x14ac:dyDescent="0.4">
      <c r="A6" s="6" t="s">
        <v>43</v>
      </c>
      <c r="B6" s="6" t="s">
        <v>50</v>
      </c>
      <c r="C6" s="6">
        <v>5</v>
      </c>
      <c r="D6" s="6"/>
      <c r="E6" s="6"/>
      <c r="F6" s="6"/>
      <c r="G6" s="9" t="s">
        <v>37</v>
      </c>
      <c r="H6" s="11">
        <v>8</v>
      </c>
      <c r="I6" s="11">
        <v>8</v>
      </c>
      <c r="J6" s="11">
        <v>4</v>
      </c>
      <c r="K6" s="11">
        <v>8</v>
      </c>
      <c r="L6" s="11">
        <v>1</v>
      </c>
      <c r="M6" s="11">
        <v>8</v>
      </c>
      <c r="N6" s="11">
        <v>8</v>
      </c>
      <c r="O6" s="11">
        <v>8</v>
      </c>
      <c r="P6" s="7">
        <f>M6*N6*O6*($C$2+L6-1)/$B$12</f>
        <v>256</v>
      </c>
      <c r="R6" s="7">
        <f t="shared" si="0"/>
        <v>8192</v>
      </c>
    </row>
    <row r="7" spans="1:18" x14ac:dyDescent="0.4">
      <c r="A7" s="6" t="s">
        <v>40</v>
      </c>
      <c r="B7" s="6" t="s">
        <v>52</v>
      </c>
      <c r="C7" s="6">
        <v>1</v>
      </c>
      <c r="D7" s="6"/>
      <c r="E7" s="6"/>
      <c r="F7" s="6"/>
      <c r="G7" s="9" t="s">
        <v>37</v>
      </c>
      <c r="H7" s="11">
        <v>8</v>
      </c>
      <c r="I7" s="11">
        <v>8</v>
      </c>
      <c r="J7" s="11">
        <v>4</v>
      </c>
      <c r="K7" s="11">
        <v>8</v>
      </c>
      <c r="L7" s="11">
        <v>1</v>
      </c>
      <c r="M7" s="11">
        <v>8</v>
      </c>
      <c r="N7" s="11">
        <v>8</v>
      </c>
      <c r="O7" s="11">
        <v>8</v>
      </c>
      <c r="P7" s="7">
        <f>M7*N7*O7*($C$2+L7-1)/$B$12</f>
        <v>256</v>
      </c>
      <c r="R7" s="7">
        <f t="shared" si="0"/>
        <v>8192</v>
      </c>
    </row>
    <row r="8" spans="1:18" x14ac:dyDescent="0.4">
      <c r="A8" s="6" t="s">
        <v>41</v>
      </c>
      <c r="B8" s="6" t="s">
        <v>51</v>
      </c>
      <c r="C8" s="6"/>
      <c r="D8" s="6"/>
      <c r="E8" s="6"/>
      <c r="F8" s="6"/>
      <c r="G8" s="9" t="s">
        <v>42</v>
      </c>
      <c r="H8" s="11">
        <v>16</v>
      </c>
      <c r="I8" s="11">
        <v>16</v>
      </c>
      <c r="J8" s="11">
        <v>16</v>
      </c>
      <c r="K8" s="7">
        <v>1</v>
      </c>
      <c r="L8" s="7">
        <v>2</v>
      </c>
      <c r="M8" s="7">
        <v>8</v>
      </c>
      <c r="N8" s="7">
        <v>8</v>
      </c>
      <c r="O8" s="7">
        <v>16</v>
      </c>
      <c r="P8" s="7">
        <f>M8*N8*O8*$C$5/$B$12</f>
        <v>768</v>
      </c>
      <c r="R8" s="7">
        <f t="shared" si="0"/>
        <v>16384</v>
      </c>
    </row>
    <row r="9" spans="1:18" x14ac:dyDescent="0.4">
      <c r="G9" s="9" t="s">
        <v>37</v>
      </c>
      <c r="H9" s="7">
        <v>8</v>
      </c>
      <c r="I9" s="7">
        <v>8</v>
      </c>
      <c r="J9" s="7">
        <v>32</v>
      </c>
      <c r="K9" s="7">
        <v>8</v>
      </c>
      <c r="L9" s="7">
        <v>1</v>
      </c>
      <c r="M9" s="7">
        <v>8</v>
      </c>
      <c r="N9" s="7">
        <v>8</v>
      </c>
      <c r="O9" s="7">
        <v>8</v>
      </c>
      <c r="P9" s="7">
        <f>M9*N9*O9*($C$2+L9-1)/$B$12</f>
        <v>256</v>
      </c>
      <c r="R9" s="7">
        <f t="shared" si="0"/>
        <v>8192</v>
      </c>
    </row>
    <row r="10" spans="1:18" x14ac:dyDescent="0.4">
      <c r="G10" s="9" t="s">
        <v>38</v>
      </c>
      <c r="H10" s="7">
        <v>8</v>
      </c>
      <c r="I10" s="7">
        <v>8</v>
      </c>
      <c r="J10" s="7">
        <v>8</v>
      </c>
      <c r="K10" s="7">
        <v>8</v>
      </c>
      <c r="L10" s="7">
        <v>1</v>
      </c>
      <c r="M10" s="7">
        <v>8</v>
      </c>
      <c r="N10" s="7">
        <v>8</v>
      </c>
      <c r="O10" s="7">
        <v>8</v>
      </c>
      <c r="P10" s="7">
        <f>M10*N10*(O10/$B$12)*($C$2+L10-1)</f>
        <v>256</v>
      </c>
      <c r="R10" s="7">
        <f t="shared" si="0"/>
        <v>8192</v>
      </c>
    </row>
    <row r="11" spans="1:18" x14ac:dyDescent="0.4">
      <c r="A11" s="6" t="s">
        <v>61</v>
      </c>
      <c r="B11" s="7">
        <v>16</v>
      </c>
      <c r="G11" s="9" t="s">
        <v>37</v>
      </c>
      <c r="H11" s="7">
        <v>8</v>
      </c>
      <c r="I11" s="7">
        <v>8</v>
      </c>
      <c r="J11" s="7">
        <v>4</v>
      </c>
      <c r="K11" s="7">
        <v>16</v>
      </c>
      <c r="L11" s="7">
        <v>1</v>
      </c>
      <c r="M11" s="7">
        <v>8</v>
      </c>
      <c r="N11" s="7">
        <v>8</v>
      </c>
      <c r="O11" s="7">
        <v>16</v>
      </c>
      <c r="P11" s="7">
        <f>M11*N11*O11*($C$2+L11-1)/$B$12</f>
        <v>512</v>
      </c>
      <c r="R11" s="7">
        <f t="shared" si="0"/>
        <v>16384</v>
      </c>
    </row>
    <row r="12" spans="1:18" x14ac:dyDescent="0.4">
      <c r="A12" s="6" t="s">
        <v>56</v>
      </c>
      <c r="B12" s="7">
        <v>4</v>
      </c>
      <c r="G12" s="9" t="s">
        <v>37</v>
      </c>
      <c r="H12" s="7">
        <v>8</v>
      </c>
      <c r="I12" s="7">
        <v>8</v>
      </c>
      <c r="J12" s="7">
        <v>4</v>
      </c>
      <c r="K12" s="7">
        <v>16</v>
      </c>
      <c r="L12" s="7">
        <v>1</v>
      </c>
      <c r="M12" s="7">
        <v>8</v>
      </c>
      <c r="N12" s="7">
        <v>8</v>
      </c>
      <c r="O12" s="7">
        <v>16</v>
      </c>
      <c r="P12" s="7">
        <f>M12*N12*O12*($C$2+L12-1)/$B$12</f>
        <v>512</v>
      </c>
      <c r="R12" s="7">
        <f t="shared" si="0"/>
        <v>16384</v>
      </c>
    </row>
    <row r="13" spans="1:18" x14ac:dyDescent="0.4">
      <c r="A13" s="6" t="s">
        <v>57</v>
      </c>
      <c r="B13" s="7">
        <v>8</v>
      </c>
      <c r="G13" s="9" t="s">
        <v>40</v>
      </c>
      <c r="H13" s="7">
        <v>8</v>
      </c>
      <c r="I13" s="7">
        <v>8</v>
      </c>
      <c r="J13" s="7">
        <v>64</v>
      </c>
      <c r="K13" s="7">
        <v>1</v>
      </c>
      <c r="L13" s="7">
        <v>1</v>
      </c>
      <c r="M13" s="7">
        <v>8</v>
      </c>
      <c r="N13" s="7">
        <v>8</v>
      </c>
      <c r="O13" s="7">
        <v>32</v>
      </c>
      <c r="R13" s="7">
        <f t="shared" si="0"/>
        <v>32768</v>
      </c>
    </row>
    <row r="14" spans="1:18" x14ac:dyDescent="0.4">
      <c r="G14" s="10" t="s">
        <v>37</v>
      </c>
      <c r="H14" s="7">
        <v>8</v>
      </c>
      <c r="I14" s="7">
        <v>8</v>
      </c>
      <c r="J14" s="7">
        <v>16</v>
      </c>
      <c r="K14" s="7">
        <v>8</v>
      </c>
      <c r="L14" s="7">
        <v>1</v>
      </c>
      <c r="M14" s="7">
        <v>8</v>
      </c>
      <c r="N14" s="7">
        <v>8</v>
      </c>
      <c r="O14" s="7">
        <v>8</v>
      </c>
      <c r="P14" s="7">
        <f t="shared" ref="P14:P15" si="1">M14*N14*O14*($C$2+L14-1)/$B$12</f>
        <v>256</v>
      </c>
      <c r="R14" s="7">
        <f t="shared" si="0"/>
        <v>8192</v>
      </c>
    </row>
    <row r="15" spans="1:18" x14ac:dyDescent="0.4">
      <c r="G15" s="10" t="s">
        <v>37</v>
      </c>
      <c r="H15" s="7">
        <v>8</v>
      </c>
      <c r="I15" s="7">
        <v>8</v>
      </c>
      <c r="J15" s="7">
        <v>16</v>
      </c>
      <c r="K15" s="7">
        <v>8</v>
      </c>
      <c r="L15" s="7">
        <v>1</v>
      </c>
      <c r="M15" s="7">
        <v>8</v>
      </c>
      <c r="N15" s="7">
        <v>8</v>
      </c>
      <c r="O15" s="7">
        <v>8</v>
      </c>
      <c r="P15" s="7">
        <f t="shared" si="1"/>
        <v>256</v>
      </c>
      <c r="R15" s="7">
        <f t="shared" si="0"/>
        <v>8192</v>
      </c>
    </row>
    <row r="16" spans="1:18" x14ac:dyDescent="0.4">
      <c r="A16" s="6" t="s">
        <v>62</v>
      </c>
      <c r="G16" s="10" t="s">
        <v>38</v>
      </c>
      <c r="H16" s="7">
        <v>8</v>
      </c>
      <c r="I16" s="7">
        <v>8</v>
      </c>
      <c r="J16" s="7">
        <v>16</v>
      </c>
      <c r="K16" s="7">
        <v>16</v>
      </c>
      <c r="L16" s="7">
        <v>2</v>
      </c>
      <c r="M16" s="7">
        <v>4</v>
      </c>
      <c r="N16" s="7">
        <v>4</v>
      </c>
      <c r="O16" s="7">
        <v>16</v>
      </c>
      <c r="P16" s="7">
        <f>M16*N16*(O16/$B$12)*($C$2+L16-1)</f>
        <v>192</v>
      </c>
      <c r="R16" s="7">
        <f t="shared" si="0"/>
        <v>4096</v>
      </c>
    </row>
    <row r="17" spans="1:18" x14ac:dyDescent="0.4">
      <c r="G17" s="10" t="s">
        <v>37</v>
      </c>
      <c r="H17" s="7">
        <v>4</v>
      </c>
      <c r="I17" s="7">
        <v>4</v>
      </c>
      <c r="J17" s="7">
        <v>8</v>
      </c>
      <c r="K17" s="7">
        <v>16</v>
      </c>
      <c r="L17" s="7">
        <v>1</v>
      </c>
      <c r="M17" s="7">
        <v>4</v>
      </c>
      <c r="N17" s="7">
        <v>4</v>
      </c>
      <c r="O17" s="7">
        <v>16</v>
      </c>
      <c r="P17" s="7">
        <f t="shared" ref="P17:P18" si="2">M17*N17*O17*($C$2+L17-1)/$B$12</f>
        <v>128</v>
      </c>
      <c r="R17" s="7">
        <f t="shared" si="0"/>
        <v>4096</v>
      </c>
    </row>
    <row r="18" spans="1:18" x14ac:dyDescent="0.4">
      <c r="A18" s="7" t="s">
        <v>63</v>
      </c>
      <c r="B18" s="7">
        <f>Q2/4</f>
        <v>16384</v>
      </c>
      <c r="G18" s="10" t="s">
        <v>37</v>
      </c>
      <c r="H18" s="7">
        <v>4</v>
      </c>
      <c r="I18" s="7">
        <v>4</v>
      </c>
      <c r="J18" s="7">
        <v>8</v>
      </c>
      <c r="K18" s="7">
        <v>16</v>
      </c>
      <c r="L18" s="7">
        <v>1</v>
      </c>
      <c r="M18" s="7">
        <v>4</v>
      </c>
      <c r="N18" s="7">
        <v>4</v>
      </c>
      <c r="O18" s="7">
        <v>16</v>
      </c>
      <c r="P18" s="7">
        <f t="shared" si="2"/>
        <v>128</v>
      </c>
      <c r="R18" s="7">
        <f t="shared" si="0"/>
        <v>4096</v>
      </c>
    </row>
    <row r="19" spans="1:18" x14ac:dyDescent="0.4">
      <c r="A19" s="7" t="s">
        <v>64</v>
      </c>
      <c r="B19" s="7">
        <v>16</v>
      </c>
      <c r="G19" s="10" t="s">
        <v>42</v>
      </c>
      <c r="H19" s="7">
        <v>8</v>
      </c>
      <c r="I19" s="7">
        <v>8</v>
      </c>
      <c r="J19" s="7">
        <v>32</v>
      </c>
      <c r="K19" s="7">
        <v>1</v>
      </c>
      <c r="L19" s="7">
        <v>2</v>
      </c>
      <c r="M19" s="7">
        <v>4</v>
      </c>
      <c r="N19" s="7">
        <v>4</v>
      </c>
      <c r="O19" s="7">
        <v>32</v>
      </c>
      <c r="P19" s="7">
        <f>M19*N19*O19*($C$5+L19-1)/$B$12</f>
        <v>512</v>
      </c>
      <c r="R19" s="7">
        <f t="shared" si="0"/>
        <v>8192</v>
      </c>
    </row>
    <row r="20" spans="1:18" x14ac:dyDescent="0.4">
      <c r="A20" s="7" t="s">
        <v>65</v>
      </c>
      <c r="B20" s="7">
        <v>1152</v>
      </c>
      <c r="G20" s="10" t="s">
        <v>37</v>
      </c>
      <c r="H20" s="7">
        <v>4</v>
      </c>
      <c r="I20" s="7">
        <v>4</v>
      </c>
      <c r="J20" s="7">
        <v>32</v>
      </c>
      <c r="K20" s="7">
        <v>8</v>
      </c>
      <c r="L20" s="7">
        <v>1</v>
      </c>
      <c r="M20" s="7">
        <v>4</v>
      </c>
      <c r="N20" s="7">
        <v>4</v>
      </c>
      <c r="O20" s="7">
        <v>8</v>
      </c>
      <c r="P20" s="7">
        <f t="shared" ref="P20:P21" si="3">M20*N20*O20*($C$2+L20-1)/$B$12</f>
        <v>64</v>
      </c>
      <c r="R20" s="7">
        <f t="shared" si="0"/>
        <v>2048</v>
      </c>
    </row>
    <row r="21" spans="1:18" x14ac:dyDescent="0.4">
      <c r="G21" s="10" t="s">
        <v>37</v>
      </c>
      <c r="H21" s="7">
        <v>4</v>
      </c>
      <c r="I21" s="7">
        <v>4</v>
      </c>
      <c r="J21" s="7">
        <v>32</v>
      </c>
      <c r="K21" s="7">
        <v>8</v>
      </c>
      <c r="L21" s="7">
        <v>1</v>
      </c>
      <c r="M21" s="7">
        <v>4</v>
      </c>
      <c r="N21" s="7">
        <v>4</v>
      </c>
      <c r="O21" s="7">
        <v>8</v>
      </c>
      <c r="P21" s="7">
        <f t="shared" si="3"/>
        <v>64</v>
      </c>
      <c r="R21" s="7">
        <f t="shared" si="0"/>
        <v>2048</v>
      </c>
    </row>
    <row r="22" spans="1:18" x14ac:dyDescent="0.4">
      <c r="G22" s="10" t="s">
        <v>38</v>
      </c>
      <c r="H22" s="7">
        <v>4</v>
      </c>
      <c r="I22" s="7">
        <v>4</v>
      </c>
      <c r="J22" s="7">
        <v>16</v>
      </c>
      <c r="K22" s="7">
        <v>16</v>
      </c>
      <c r="L22" s="7">
        <v>1</v>
      </c>
      <c r="M22" s="7">
        <v>4</v>
      </c>
      <c r="N22" s="7">
        <v>4</v>
      </c>
      <c r="O22" s="7">
        <v>16</v>
      </c>
      <c r="P22" s="7">
        <f>M22*N22*(O22/$B$12)*($C$2+L22-1)</f>
        <v>128</v>
      </c>
      <c r="R22" s="7">
        <f t="shared" si="0"/>
        <v>4096</v>
      </c>
    </row>
    <row r="23" spans="1:18" x14ac:dyDescent="0.4">
      <c r="G23" s="10" t="s">
        <v>37</v>
      </c>
      <c r="H23" s="7">
        <v>4</v>
      </c>
      <c r="I23" s="7">
        <v>4</v>
      </c>
      <c r="J23" s="7">
        <v>8</v>
      </c>
      <c r="K23" s="7">
        <v>32</v>
      </c>
      <c r="L23" s="7">
        <v>1</v>
      </c>
      <c r="M23" s="7">
        <v>4</v>
      </c>
      <c r="N23" s="7">
        <v>4</v>
      </c>
      <c r="O23" s="7">
        <v>32</v>
      </c>
      <c r="P23" s="7">
        <f t="shared" ref="P23:P25" si="4">M23*N23*O23*($C$2+L23-1)/$B$12</f>
        <v>256</v>
      </c>
      <c r="R23" s="7">
        <f t="shared" si="0"/>
        <v>8192</v>
      </c>
    </row>
    <row r="24" spans="1:18" x14ac:dyDescent="0.4">
      <c r="G24" s="10" t="s">
        <v>37</v>
      </c>
      <c r="H24" s="7">
        <v>4</v>
      </c>
      <c r="I24" s="7">
        <v>4</v>
      </c>
      <c r="J24" s="7">
        <v>8</v>
      </c>
      <c r="K24" s="7">
        <v>32</v>
      </c>
      <c r="L24" s="7">
        <v>1</v>
      </c>
      <c r="M24" s="7">
        <v>4</v>
      </c>
      <c r="N24" s="7">
        <v>4</v>
      </c>
      <c r="O24" s="7">
        <v>32</v>
      </c>
      <c r="P24" s="7">
        <f t="shared" si="4"/>
        <v>256</v>
      </c>
      <c r="R24" s="7">
        <f t="shared" si="0"/>
        <v>8192</v>
      </c>
    </row>
    <row r="25" spans="1:18" x14ac:dyDescent="0.4">
      <c r="G25" s="10" t="s">
        <v>40</v>
      </c>
      <c r="H25" s="7">
        <v>4</v>
      </c>
      <c r="I25" s="7">
        <v>4</v>
      </c>
      <c r="J25" s="7">
        <v>128</v>
      </c>
      <c r="K25" s="7">
        <v>1</v>
      </c>
      <c r="L25" s="7">
        <v>1</v>
      </c>
      <c r="M25" s="7">
        <v>4</v>
      </c>
      <c r="N25" s="7">
        <v>4</v>
      </c>
      <c r="O25" s="7">
        <v>64</v>
      </c>
      <c r="P25" s="7">
        <f t="shared" si="4"/>
        <v>512</v>
      </c>
      <c r="R25" s="7">
        <f t="shared" si="0"/>
        <v>16384</v>
      </c>
    </row>
    <row r="27" spans="1:18" x14ac:dyDescent="0.4">
      <c r="G27" s="10" t="s">
        <v>37</v>
      </c>
      <c r="H27" s="7">
        <v>4</v>
      </c>
      <c r="I27" s="7">
        <v>4</v>
      </c>
      <c r="J27" s="7">
        <v>32</v>
      </c>
      <c r="K27" s="7">
        <v>8</v>
      </c>
      <c r="L27" s="7">
        <v>1</v>
      </c>
      <c r="M27" s="7">
        <v>4</v>
      </c>
      <c r="N27" s="7">
        <v>4</v>
      </c>
      <c r="O27" s="7">
        <v>8</v>
      </c>
      <c r="P27" s="7">
        <f t="shared" ref="P27:P28" si="5">M27*N27*O27*($C$2+L27-1)/$B$12</f>
        <v>64</v>
      </c>
      <c r="R27" s="7">
        <f t="shared" ref="R27:R32" si="6">M27*N27*O27*$B$11</f>
        <v>2048</v>
      </c>
    </row>
    <row r="28" spans="1:18" x14ac:dyDescent="0.4">
      <c r="G28" s="10" t="s">
        <v>37</v>
      </c>
      <c r="H28" s="7">
        <v>4</v>
      </c>
      <c r="I28" s="7">
        <v>4</v>
      </c>
      <c r="J28" s="7">
        <v>32</v>
      </c>
      <c r="K28" s="7">
        <v>8</v>
      </c>
      <c r="L28" s="7">
        <v>1</v>
      </c>
      <c r="M28" s="7">
        <v>4</v>
      </c>
      <c r="N28" s="7">
        <v>4</v>
      </c>
      <c r="O28" s="7">
        <v>8</v>
      </c>
      <c r="P28" s="7">
        <f t="shared" si="5"/>
        <v>64</v>
      </c>
      <c r="R28" s="7">
        <f t="shared" si="6"/>
        <v>2048</v>
      </c>
    </row>
    <row r="29" spans="1:18" x14ac:dyDescent="0.4">
      <c r="G29" s="10" t="s">
        <v>38</v>
      </c>
      <c r="H29" s="7">
        <v>4</v>
      </c>
      <c r="I29" s="7">
        <v>4</v>
      </c>
      <c r="J29" s="7">
        <v>16</v>
      </c>
      <c r="K29" s="7">
        <v>16</v>
      </c>
      <c r="L29" s="7">
        <v>1</v>
      </c>
      <c r="M29" s="7">
        <v>4</v>
      </c>
      <c r="N29" s="7">
        <v>4</v>
      </c>
      <c r="O29" s="7">
        <v>16</v>
      </c>
      <c r="P29" s="7">
        <f>M29*N29*(O29/$B$12)*($C$2+L29-1)</f>
        <v>128</v>
      </c>
      <c r="R29" s="7">
        <f t="shared" si="6"/>
        <v>4096</v>
      </c>
    </row>
    <row r="30" spans="1:18" x14ac:dyDescent="0.4">
      <c r="G30" s="10" t="s">
        <v>37</v>
      </c>
      <c r="H30" s="7">
        <v>4</v>
      </c>
      <c r="I30" s="7">
        <v>4</v>
      </c>
      <c r="J30" s="7">
        <v>8</v>
      </c>
      <c r="K30" s="7">
        <v>32</v>
      </c>
      <c r="L30" s="7">
        <v>1</v>
      </c>
      <c r="M30" s="7">
        <v>4</v>
      </c>
      <c r="N30" s="7">
        <v>4</v>
      </c>
      <c r="O30" s="7">
        <v>32</v>
      </c>
      <c r="P30" s="7">
        <f t="shared" ref="P30:P32" si="7">M30*N30*O30*($C$2+L30-1)/$B$12</f>
        <v>256</v>
      </c>
      <c r="R30" s="7">
        <f t="shared" si="6"/>
        <v>8192</v>
      </c>
    </row>
    <row r="31" spans="1:18" x14ac:dyDescent="0.4">
      <c r="G31" s="10" t="s">
        <v>37</v>
      </c>
      <c r="H31" s="7">
        <v>4</v>
      </c>
      <c r="I31" s="7">
        <v>4</v>
      </c>
      <c r="J31" s="7">
        <v>8</v>
      </c>
      <c r="K31" s="7">
        <v>32</v>
      </c>
      <c r="L31" s="7">
        <v>1</v>
      </c>
      <c r="M31" s="7">
        <v>4</v>
      </c>
      <c r="N31" s="7">
        <v>4</v>
      </c>
      <c r="O31" s="7">
        <v>32</v>
      </c>
      <c r="P31" s="7">
        <f t="shared" si="7"/>
        <v>256</v>
      </c>
      <c r="R31" s="7">
        <f t="shared" si="6"/>
        <v>8192</v>
      </c>
    </row>
    <row r="32" spans="1:18" x14ac:dyDescent="0.4">
      <c r="G32" s="10" t="s">
        <v>40</v>
      </c>
      <c r="H32" s="7">
        <v>4</v>
      </c>
      <c r="I32" s="7">
        <v>4</v>
      </c>
      <c r="J32" s="7">
        <v>128</v>
      </c>
      <c r="K32" s="7">
        <v>1</v>
      </c>
      <c r="L32" s="7">
        <v>1</v>
      </c>
      <c r="M32" s="7">
        <v>4</v>
      </c>
      <c r="N32" s="7">
        <v>4</v>
      </c>
      <c r="O32" s="7">
        <v>64</v>
      </c>
      <c r="P32" s="7">
        <f t="shared" si="7"/>
        <v>512</v>
      </c>
      <c r="R32" s="7">
        <f t="shared" si="6"/>
        <v>16384</v>
      </c>
    </row>
    <row r="34" spans="7:18" x14ac:dyDescent="0.4">
      <c r="G34" s="10" t="s">
        <v>37</v>
      </c>
      <c r="H34" s="7">
        <v>4</v>
      </c>
      <c r="I34" s="7">
        <v>4</v>
      </c>
      <c r="J34" s="7">
        <v>32</v>
      </c>
      <c r="K34" s="7">
        <v>8</v>
      </c>
      <c r="L34" s="7">
        <v>1</v>
      </c>
      <c r="M34" s="7">
        <v>4</v>
      </c>
      <c r="N34" s="7">
        <v>4</v>
      </c>
      <c r="O34" s="7">
        <v>8</v>
      </c>
      <c r="P34" s="7">
        <f t="shared" ref="P34:P35" si="8">M34*N34*O34*($C$2+L34-1)/$B$12</f>
        <v>64</v>
      </c>
      <c r="R34" s="7">
        <f t="shared" ref="R34:R39" si="9">M34*N34*O34*$B$11</f>
        <v>2048</v>
      </c>
    </row>
    <row r="35" spans="7:18" x14ac:dyDescent="0.4">
      <c r="G35" s="10" t="s">
        <v>37</v>
      </c>
      <c r="H35" s="7">
        <v>4</v>
      </c>
      <c r="I35" s="7">
        <v>4</v>
      </c>
      <c r="J35" s="7">
        <v>32</v>
      </c>
      <c r="K35" s="7">
        <v>8</v>
      </c>
      <c r="L35" s="7">
        <v>1</v>
      </c>
      <c r="M35" s="7">
        <v>4</v>
      </c>
      <c r="N35" s="7">
        <v>4</v>
      </c>
      <c r="O35" s="7">
        <v>8</v>
      </c>
      <c r="P35" s="7">
        <f t="shared" si="8"/>
        <v>64</v>
      </c>
      <c r="R35" s="7">
        <f t="shared" si="9"/>
        <v>2048</v>
      </c>
    </row>
    <row r="36" spans="7:18" x14ac:dyDescent="0.4">
      <c r="G36" s="10" t="s">
        <v>38</v>
      </c>
      <c r="H36" s="7">
        <v>4</v>
      </c>
      <c r="I36" s="7">
        <v>4</v>
      </c>
      <c r="J36" s="7">
        <v>16</v>
      </c>
      <c r="K36" s="7">
        <v>16</v>
      </c>
      <c r="L36" s="7">
        <v>1</v>
      </c>
      <c r="M36" s="7">
        <v>4</v>
      </c>
      <c r="N36" s="7">
        <v>4</v>
      </c>
      <c r="O36" s="7">
        <v>16</v>
      </c>
      <c r="P36" s="7">
        <f>M36*N36*(O36/$B$12)*($C$2+L36-1)</f>
        <v>128</v>
      </c>
      <c r="R36" s="7">
        <f t="shared" si="9"/>
        <v>4096</v>
      </c>
    </row>
    <row r="37" spans="7:18" x14ac:dyDescent="0.4">
      <c r="G37" s="10" t="s">
        <v>37</v>
      </c>
      <c r="H37" s="7">
        <v>4</v>
      </c>
      <c r="I37" s="7">
        <v>4</v>
      </c>
      <c r="J37" s="7">
        <v>8</v>
      </c>
      <c r="K37" s="7">
        <v>32</v>
      </c>
      <c r="L37" s="7">
        <v>1</v>
      </c>
      <c r="M37" s="7">
        <v>4</v>
      </c>
      <c r="N37" s="7">
        <v>4</v>
      </c>
      <c r="O37" s="7">
        <v>32</v>
      </c>
      <c r="P37" s="7">
        <f t="shared" ref="P37:P39" si="10">M37*N37*O37*($C$2+L37-1)/$B$12</f>
        <v>256</v>
      </c>
      <c r="R37" s="7">
        <f t="shared" si="9"/>
        <v>8192</v>
      </c>
    </row>
    <row r="38" spans="7:18" x14ac:dyDescent="0.4">
      <c r="G38" s="10" t="s">
        <v>37</v>
      </c>
      <c r="H38" s="7">
        <v>4</v>
      </c>
      <c r="I38" s="7">
        <v>4</v>
      </c>
      <c r="J38" s="7">
        <v>8</v>
      </c>
      <c r="K38" s="7">
        <v>32</v>
      </c>
      <c r="L38" s="7">
        <v>1</v>
      </c>
      <c r="M38" s="7">
        <v>4</v>
      </c>
      <c r="N38" s="7">
        <v>4</v>
      </c>
      <c r="O38" s="7">
        <v>32</v>
      </c>
      <c r="P38" s="7">
        <f t="shared" si="10"/>
        <v>256</v>
      </c>
      <c r="R38" s="7">
        <f t="shared" si="9"/>
        <v>8192</v>
      </c>
    </row>
    <row r="39" spans="7:18" x14ac:dyDescent="0.4">
      <c r="G39" s="10" t="s">
        <v>40</v>
      </c>
      <c r="H39" s="7">
        <v>4</v>
      </c>
      <c r="I39" s="7">
        <v>4</v>
      </c>
      <c r="J39" s="7">
        <v>128</v>
      </c>
      <c r="K39" s="7">
        <v>1</v>
      </c>
      <c r="L39" s="7">
        <v>1</v>
      </c>
      <c r="M39" s="7">
        <v>4</v>
      </c>
      <c r="N39" s="7">
        <v>4</v>
      </c>
      <c r="O39" s="7">
        <v>64</v>
      </c>
      <c r="P39" s="7">
        <f t="shared" si="10"/>
        <v>512</v>
      </c>
      <c r="R39" s="7">
        <f t="shared" si="9"/>
        <v>16384</v>
      </c>
    </row>
    <row r="40" spans="7:18" x14ac:dyDescent="0.4">
      <c r="G40" s="8" t="s">
        <v>43</v>
      </c>
      <c r="H40" s="7">
        <v>4</v>
      </c>
      <c r="I40" s="7">
        <v>4</v>
      </c>
      <c r="J40" s="7">
        <v>64</v>
      </c>
      <c r="M40" s="7">
        <v>1</v>
      </c>
      <c r="N40" s="7">
        <v>1</v>
      </c>
      <c r="O40" s="7">
        <v>64</v>
      </c>
      <c r="R40" s="7">
        <f>M40*N40*O40*$B$11</f>
        <v>1024</v>
      </c>
    </row>
    <row r="41" spans="7:18" x14ac:dyDescent="0.4">
      <c r="G41" s="8" t="s">
        <v>41</v>
      </c>
      <c r="R41" s="7">
        <f>M41*N41*O41*$B$11</f>
        <v>0</v>
      </c>
    </row>
    <row r="42" spans="7:18" x14ac:dyDescent="0.4">
      <c r="G42" s="12" t="s">
        <v>58</v>
      </c>
      <c r="P42" s="7">
        <f>SUM(P2:P41)</f>
        <v>25920</v>
      </c>
      <c r="Q42" s="7">
        <f>SUM(P2:P13)</f>
        <v>20608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1855-2D6B-4A64-A723-64CF223F468C}">
  <dimension ref="A1:Z45"/>
  <sheetViews>
    <sheetView tabSelected="1" topLeftCell="E1" zoomScaleNormal="100" workbookViewId="0">
      <pane ySplit="1" topLeftCell="A2" activePane="bottomLeft" state="frozen"/>
      <selection activeCell="E1" sqref="E1"/>
      <selection pane="bottomLeft" activeCell="G10" sqref="G10"/>
    </sheetView>
  </sheetViews>
  <sheetFormatPr defaultColWidth="23.36328125" defaultRowHeight="17" x14ac:dyDescent="0.4"/>
  <cols>
    <col min="2" max="2" width="25.36328125" customWidth="1"/>
    <col min="5" max="5" width="23.81640625" style="7" customWidth="1"/>
    <col min="6" max="6" width="15.08984375" style="18" customWidth="1"/>
    <col min="7" max="7" width="11.453125" style="20" customWidth="1"/>
    <col min="8" max="8" width="12.81640625" style="20" customWidth="1"/>
    <col min="9" max="9" width="12.81640625" style="24" customWidth="1"/>
    <col min="10" max="10" width="12.81640625" style="25" customWidth="1"/>
    <col min="11" max="11" width="13.81640625" style="7" customWidth="1"/>
    <col min="12" max="12" width="12.36328125" style="7" customWidth="1"/>
    <col min="13" max="13" width="14.90625" style="7" customWidth="1"/>
    <col min="14" max="14" width="14.08984375" style="7" customWidth="1"/>
    <col min="15" max="15" width="11" style="7" customWidth="1"/>
    <col min="16" max="16" width="11.81640625" style="7" customWidth="1"/>
    <col min="17" max="17" width="8.90625" style="7"/>
    <col min="18" max="18" width="11.6328125" customWidth="1"/>
    <col min="19" max="19" width="10.453125" customWidth="1"/>
    <col min="20" max="20" width="11.453125" customWidth="1"/>
    <col min="21" max="21" width="13.453125" customWidth="1"/>
    <col min="22" max="22" width="14.54296875" customWidth="1"/>
  </cols>
  <sheetData>
    <row r="1" spans="1:26" x14ac:dyDescent="0.4">
      <c r="A1" s="6" t="s">
        <v>44</v>
      </c>
      <c r="B1" s="6" t="s">
        <v>45</v>
      </c>
      <c r="C1" s="6" t="s">
        <v>10</v>
      </c>
      <c r="E1" s="7" t="s">
        <v>122</v>
      </c>
      <c r="F1" s="18" t="s">
        <v>121</v>
      </c>
      <c r="G1" s="19" t="s">
        <v>129</v>
      </c>
      <c r="H1" s="18" t="s">
        <v>130</v>
      </c>
      <c r="I1" s="22" t="s">
        <v>132</v>
      </c>
      <c r="J1" s="23" t="s">
        <v>131</v>
      </c>
      <c r="K1" s="7" t="s">
        <v>123</v>
      </c>
      <c r="L1" s="7" t="s">
        <v>124</v>
      </c>
      <c r="M1" s="7" t="s">
        <v>125</v>
      </c>
      <c r="N1" s="7" t="s">
        <v>126</v>
      </c>
      <c r="O1" s="7" t="s">
        <v>127</v>
      </c>
      <c r="P1" s="7" t="s">
        <v>36</v>
      </c>
      <c r="Q1" s="7" t="s">
        <v>29</v>
      </c>
      <c r="R1" s="7" t="s">
        <v>28</v>
      </c>
      <c r="S1" s="7" t="s">
        <v>33</v>
      </c>
      <c r="T1" s="6" t="s">
        <v>34</v>
      </c>
      <c r="U1" s="6" t="s">
        <v>30</v>
      </c>
      <c r="V1" s="6" t="s">
        <v>31</v>
      </c>
      <c r="W1" s="6" t="s">
        <v>32</v>
      </c>
      <c r="X1" s="6" t="s">
        <v>35</v>
      </c>
      <c r="Y1" s="6" t="s">
        <v>10</v>
      </c>
    </row>
    <row r="2" spans="1:26" x14ac:dyDescent="0.4">
      <c r="A2" s="6" t="s">
        <v>74</v>
      </c>
      <c r="B2" s="6" t="s">
        <v>75</v>
      </c>
      <c r="C2" s="6">
        <v>2</v>
      </c>
      <c r="E2" s="7" t="s">
        <v>128</v>
      </c>
      <c r="F2" s="18">
        <v>0</v>
      </c>
    </row>
    <row r="3" spans="1:26" x14ac:dyDescent="0.4">
      <c r="A3" s="6" t="s">
        <v>76</v>
      </c>
      <c r="B3" s="6" t="s">
        <v>77</v>
      </c>
      <c r="C3" s="6">
        <v>3</v>
      </c>
      <c r="D3" t="s">
        <v>83</v>
      </c>
      <c r="E3" s="7" t="s">
        <v>85</v>
      </c>
      <c r="F3" s="18">
        <v>1</v>
      </c>
      <c r="G3" s="21">
        <v>2</v>
      </c>
      <c r="H3" s="21">
        <v>0</v>
      </c>
      <c r="I3" s="26">
        <v>16</v>
      </c>
      <c r="J3" s="27">
        <v>8</v>
      </c>
      <c r="K3" s="7">
        <f>T3</f>
        <v>16</v>
      </c>
      <c r="L3" s="17">
        <f>Q3/4+IF(OR(LEFT(P3)="P",LEFT(P3)="A"),0,1)+IF(P3="DWConv_1",1,0)</f>
        <v>17</v>
      </c>
      <c r="M3" s="7">
        <f>R3+IF(OR(LEFT(P3)="P",LEFT(P3)="A"),0,1)+IF(P3="DWConv_1",1,0)</f>
        <v>65</v>
      </c>
      <c r="N3" s="7">
        <f>V4</f>
        <v>16</v>
      </c>
      <c r="O3" s="7">
        <f>W4</f>
        <v>16</v>
      </c>
      <c r="P3" s="3" t="s">
        <v>76</v>
      </c>
      <c r="Q3" s="11">
        <v>64</v>
      </c>
      <c r="R3" s="11">
        <v>64</v>
      </c>
      <c r="S3" s="11">
        <v>1</v>
      </c>
      <c r="T3" s="11">
        <v>16</v>
      </c>
      <c r="U3" s="11">
        <v>2</v>
      </c>
      <c r="V3" s="11">
        <v>32</v>
      </c>
      <c r="W3" s="11">
        <v>32</v>
      </c>
      <c r="X3" s="11">
        <v>16</v>
      </c>
      <c r="Y3">
        <f>V3*W3*X3*INDEX($C$2:$C$12,MATCH(P3,$A$2:$A$12,0),1)/$B$15</f>
        <v>12288</v>
      </c>
      <c r="Z3">
        <f>IF(U3=2,V3*W3/2,0)</f>
        <v>512</v>
      </c>
    </row>
    <row r="4" spans="1:26" x14ac:dyDescent="0.4">
      <c r="A4" s="6" t="s">
        <v>68</v>
      </c>
      <c r="B4" s="6" t="s">
        <v>69</v>
      </c>
      <c r="C4" s="13">
        <v>4</v>
      </c>
      <c r="G4" s="21"/>
      <c r="P4" s="3" t="s">
        <v>39</v>
      </c>
      <c r="Q4" s="11">
        <v>32</v>
      </c>
      <c r="R4" s="11">
        <v>32</v>
      </c>
      <c r="S4" s="11">
        <v>16</v>
      </c>
      <c r="T4" s="11">
        <v>1</v>
      </c>
      <c r="U4" s="11">
        <v>2</v>
      </c>
      <c r="V4" s="11">
        <v>16</v>
      </c>
      <c r="W4" s="11">
        <v>16</v>
      </c>
      <c r="X4" s="11">
        <v>16</v>
      </c>
      <c r="Y4">
        <f>V4*W4*X4*INDEX($C$2:$C$12,MATCH(P4,$A$2:$A$12,0),1)/$B$15</f>
        <v>0</v>
      </c>
      <c r="Z4">
        <f t="shared" ref="Z4:Z41" si="0">IF(U4=2,V4*W4/2,0)</f>
        <v>128</v>
      </c>
    </row>
    <row r="5" spans="1:26" x14ac:dyDescent="0.4">
      <c r="A5" s="6" t="s">
        <v>70</v>
      </c>
      <c r="B5" s="6" t="s">
        <v>71</v>
      </c>
      <c r="C5" s="13">
        <v>8</v>
      </c>
      <c r="D5" t="s">
        <v>82</v>
      </c>
      <c r="E5" s="7" t="s">
        <v>90</v>
      </c>
      <c r="F5" s="18">
        <v>2</v>
      </c>
      <c r="G5" s="18"/>
      <c r="K5" s="7">
        <f>S5/4</f>
        <v>4</v>
      </c>
      <c r="L5" s="17">
        <f>Q5/IF(P5="AvgPool22",2,1)+IF(OR(LEFT(P5)="P",LEFT(P5)="A"),0,1)+IF(P5="DWConv_1",1,0)</f>
        <v>8</v>
      </c>
      <c r="M5" s="17">
        <f>R5/IF(P5="AvgPool22",2,1)+IF(OR(LEFT(P5)="P",LEFT(P5)="A"),0,1)+IF(P5="DWConv_1",1,0)</f>
        <v>8</v>
      </c>
      <c r="N5" s="7">
        <f>V5</f>
        <v>8</v>
      </c>
      <c r="O5" s="7">
        <f>W5</f>
        <v>8</v>
      </c>
      <c r="P5" s="14" t="s">
        <v>78</v>
      </c>
      <c r="Q5" s="11">
        <v>16</v>
      </c>
      <c r="R5" s="11">
        <v>16</v>
      </c>
      <c r="S5" s="11">
        <v>16</v>
      </c>
      <c r="T5" s="7">
        <v>1</v>
      </c>
      <c r="U5" s="7">
        <v>2</v>
      </c>
      <c r="V5" s="7">
        <v>8</v>
      </c>
      <c r="W5" s="7">
        <v>8</v>
      </c>
      <c r="X5" s="7">
        <v>16</v>
      </c>
      <c r="Y5">
        <f>V5*W5*X5*INDEX($C$2:$C$12,MATCH(P5,$A$2:$A$12,0),1)/$B$15</f>
        <v>1024</v>
      </c>
      <c r="Z5">
        <f>IF(U5=2,V5*W5/2,0)</f>
        <v>32</v>
      </c>
    </row>
    <row r="6" spans="1:26" x14ac:dyDescent="0.4">
      <c r="A6" s="6" t="s">
        <v>66</v>
      </c>
      <c r="B6" s="6" t="s">
        <v>67</v>
      </c>
      <c r="C6" s="13">
        <v>16</v>
      </c>
      <c r="E6" s="7" t="s">
        <v>86</v>
      </c>
      <c r="F6" s="18">
        <v>3</v>
      </c>
      <c r="G6" s="21">
        <v>4</v>
      </c>
      <c r="H6" s="21">
        <v>8</v>
      </c>
      <c r="I6" s="26">
        <v>2</v>
      </c>
      <c r="J6" s="27">
        <f>G6*I6</f>
        <v>8</v>
      </c>
      <c r="K6" s="7">
        <f>T6/4</f>
        <v>2</v>
      </c>
      <c r="L6" s="7">
        <f t="shared" ref="L6:L41" si="1">Q6/IF(P6="AvgPool22",2,1)+IF(OR(LEFT(P6)="P",LEFT(P6)="A"),0,1)+IF(P6="DWConv_1",1,0)</f>
        <v>16</v>
      </c>
      <c r="M6" s="7">
        <f t="shared" ref="M6:M41" si="2">R6/IF(P6="AvgPool22",2,1)+IF(OR(LEFT(P6)="P",LEFT(P6)="A"),0,1)+IF(P6="DWConv_1",1,0)</f>
        <v>16</v>
      </c>
      <c r="N6" s="7">
        <f t="shared" ref="N6:N42" si="3">V6</f>
        <v>16</v>
      </c>
      <c r="O6" s="7">
        <f t="shared" ref="O6:O42" si="4">W6</f>
        <v>16</v>
      </c>
      <c r="P6" s="14" t="s">
        <v>66</v>
      </c>
      <c r="Q6" s="11">
        <v>16</v>
      </c>
      <c r="R6" s="11">
        <v>16</v>
      </c>
      <c r="S6" s="11">
        <v>16</v>
      </c>
      <c r="T6" s="11">
        <v>8</v>
      </c>
      <c r="U6" s="11">
        <v>1</v>
      </c>
      <c r="V6" s="11">
        <v>16</v>
      </c>
      <c r="W6" s="11">
        <v>16</v>
      </c>
      <c r="X6" s="11">
        <v>8</v>
      </c>
      <c r="Y6">
        <f>V6*W6*X6*INDEX($C$2:$C$12,MATCH(P6,$A$2:$A$12,0),1)/$B$15</f>
        <v>8192</v>
      </c>
      <c r="Z6">
        <f t="shared" si="0"/>
        <v>0</v>
      </c>
    </row>
    <row r="7" spans="1:26" x14ac:dyDescent="0.4">
      <c r="A7" s="6" t="s">
        <v>73</v>
      </c>
      <c r="B7" s="6" t="s">
        <v>72</v>
      </c>
      <c r="C7" s="13">
        <v>32</v>
      </c>
      <c r="E7" s="7" t="s">
        <v>87</v>
      </c>
      <c r="F7" s="18">
        <v>4</v>
      </c>
      <c r="G7" s="21">
        <v>2</v>
      </c>
      <c r="H7" s="21">
        <f>J6+H6</f>
        <v>16</v>
      </c>
      <c r="I7" s="26">
        <v>2</v>
      </c>
      <c r="J7" s="27">
        <f>G7*I7</f>
        <v>4</v>
      </c>
      <c r="K7" s="7">
        <f>T7/4</f>
        <v>2</v>
      </c>
      <c r="L7" s="7">
        <f t="shared" si="1"/>
        <v>17</v>
      </c>
      <c r="M7" s="7">
        <f t="shared" si="2"/>
        <v>17</v>
      </c>
      <c r="N7" s="7">
        <f t="shared" si="3"/>
        <v>8</v>
      </c>
      <c r="O7" s="7">
        <f t="shared" si="4"/>
        <v>8</v>
      </c>
      <c r="P7" s="14" t="s">
        <v>76</v>
      </c>
      <c r="Q7" s="11">
        <v>16</v>
      </c>
      <c r="R7" s="11">
        <v>16</v>
      </c>
      <c r="S7" s="11">
        <v>8</v>
      </c>
      <c r="T7" s="11">
        <v>8</v>
      </c>
      <c r="U7" s="11">
        <v>2</v>
      </c>
      <c r="V7" s="11">
        <v>8</v>
      </c>
      <c r="W7" s="11">
        <v>8</v>
      </c>
      <c r="X7" s="11">
        <v>8</v>
      </c>
      <c r="Y7">
        <f>V7*W7*X7*INDEX($C$2:$C$12,MATCH(P7,$A$2:$A$12,0),1)/$B$15</f>
        <v>384</v>
      </c>
      <c r="Z7">
        <f t="shared" si="0"/>
        <v>32</v>
      </c>
    </row>
    <row r="8" spans="1:26" x14ac:dyDescent="0.4">
      <c r="A8" s="6" t="s">
        <v>39</v>
      </c>
      <c r="B8" s="6" t="s">
        <v>81</v>
      </c>
      <c r="C8" s="6">
        <v>0</v>
      </c>
      <c r="E8" s="7" t="s">
        <v>88</v>
      </c>
      <c r="F8" s="18">
        <v>5</v>
      </c>
      <c r="G8" s="21">
        <f>S8/4</f>
        <v>1</v>
      </c>
      <c r="H8" s="21">
        <f>J7+H7</f>
        <v>20</v>
      </c>
      <c r="I8" s="26">
        <f>T8/4</f>
        <v>2</v>
      </c>
      <c r="J8" s="27">
        <f>G8*I8</f>
        <v>2</v>
      </c>
      <c r="K8" s="7">
        <f>T8/4</f>
        <v>2</v>
      </c>
      <c r="L8" s="7">
        <f t="shared" si="1"/>
        <v>8</v>
      </c>
      <c r="M8" s="7">
        <f t="shared" si="2"/>
        <v>8</v>
      </c>
      <c r="N8" s="7">
        <f t="shared" si="3"/>
        <v>8</v>
      </c>
      <c r="O8" s="7">
        <f t="shared" si="4"/>
        <v>8</v>
      </c>
      <c r="P8" s="14" t="s">
        <v>68</v>
      </c>
      <c r="Q8" s="11">
        <v>8</v>
      </c>
      <c r="R8" s="11">
        <v>8</v>
      </c>
      <c r="S8" s="11">
        <v>4</v>
      </c>
      <c r="T8" s="11">
        <v>8</v>
      </c>
      <c r="U8" s="11">
        <v>1</v>
      </c>
      <c r="V8" s="11">
        <v>8</v>
      </c>
      <c r="W8" s="11">
        <v>8</v>
      </c>
      <c r="X8" s="11">
        <v>8</v>
      </c>
      <c r="Y8">
        <f>V8*W8*X8*INDEX($C$2:$C$12,MATCH(P8,$A$2:$A$12,0),1)/$B$15</f>
        <v>512</v>
      </c>
      <c r="Z8">
        <f t="shared" si="0"/>
        <v>0</v>
      </c>
    </row>
    <row r="9" spans="1:26" x14ac:dyDescent="0.4">
      <c r="A9" s="6" t="s">
        <v>78</v>
      </c>
      <c r="B9" s="6" t="s">
        <v>79</v>
      </c>
      <c r="C9" s="6">
        <v>4</v>
      </c>
      <c r="E9" s="7" t="s">
        <v>89</v>
      </c>
      <c r="F9" s="18">
        <v>6</v>
      </c>
      <c r="G9" s="21">
        <f>S9/4</f>
        <v>1</v>
      </c>
      <c r="H9" s="21">
        <f>J8+H8</f>
        <v>22</v>
      </c>
      <c r="I9" s="26">
        <f>T9/4</f>
        <v>2</v>
      </c>
      <c r="J9" s="27">
        <f>G9*I9</f>
        <v>2</v>
      </c>
      <c r="K9" s="7">
        <f>T9/4</f>
        <v>2</v>
      </c>
      <c r="L9" s="7">
        <f t="shared" si="1"/>
        <v>8</v>
      </c>
      <c r="M9" s="7">
        <f t="shared" si="2"/>
        <v>8</v>
      </c>
      <c r="N9" s="7">
        <f t="shared" si="3"/>
        <v>8</v>
      </c>
      <c r="O9" s="7">
        <f t="shared" si="4"/>
        <v>8</v>
      </c>
      <c r="P9" s="14" t="s">
        <v>68</v>
      </c>
      <c r="Q9" s="11">
        <v>8</v>
      </c>
      <c r="R9" s="11">
        <v>8</v>
      </c>
      <c r="S9" s="11">
        <v>4</v>
      </c>
      <c r="T9" s="11">
        <v>8</v>
      </c>
      <c r="U9" s="11">
        <v>1</v>
      </c>
      <c r="V9" s="11">
        <v>8</v>
      </c>
      <c r="W9" s="11">
        <v>8</v>
      </c>
      <c r="X9" s="11">
        <v>8</v>
      </c>
      <c r="Y9">
        <f>V9*W9*X9*INDEX($C$2:$C$12,MATCH(P9,$A$2:$A$12,0),1)/$B$15</f>
        <v>512</v>
      </c>
      <c r="Z9">
        <f t="shared" si="0"/>
        <v>0</v>
      </c>
    </row>
    <row r="10" spans="1:26" x14ac:dyDescent="0.4">
      <c r="A10" s="6" t="s">
        <v>43</v>
      </c>
      <c r="B10" s="6" t="s">
        <v>50</v>
      </c>
      <c r="C10" s="6">
        <v>16</v>
      </c>
      <c r="E10" s="7" t="s">
        <v>91</v>
      </c>
      <c r="F10" s="18">
        <v>7</v>
      </c>
      <c r="G10" s="21">
        <f>S10/4</f>
        <v>8</v>
      </c>
      <c r="H10" s="21">
        <f>J9+H9</f>
        <v>24</v>
      </c>
      <c r="I10" s="26">
        <f>T10/4</f>
        <v>2</v>
      </c>
      <c r="J10" s="27">
        <f>G10*I10</f>
        <v>16</v>
      </c>
      <c r="K10" s="7">
        <f>T10/4</f>
        <v>2</v>
      </c>
      <c r="L10" s="7">
        <f t="shared" si="1"/>
        <v>8</v>
      </c>
      <c r="M10" s="7">
        <f t="shared" si="2"/>
        <v>8</v>
      </c>
      <c r="N10" s="7">
        <f t="shared" si="3"/>
        <v>8</v>
      </c>
      <c r="O10" s="7">
        <f t="shared" si="4"/>
        <v>8</v>
      </c>
      <c r="P10" s="15" t="s">
        <v>73</v>
      </c>
      <c r="Q10" s="7">
        <v>8</v>
      </c>
      <c r="R10" s="7">
        <v>8</v>
      </c>
      <c r="S10" s="7">
        <v>32</v>
      </c>
      <c r="T10" s="7">
        <v>8</v>
      </c>
      <c r="U10" s="7">
        <v>1</v>
      </c>
      <c r="V10" s="7">
        <v>8</v>
      </c>
      <c r="W10" s="7">
        <v>8</v>
      </c>
      <c r="X10" s="7">
        <v>8</v>
      </c>
      <c r="Y10">
        <f>V10*W10*X10*INDEX($C$2:$C$12,MATCH(P10,$A$2:$A$12,0),1)/$B$15</f>
        <v>4096</v>
      </c>
      <c r="Z10">
        <f t="shared" si="0"/>
        <v>0</v>
      </c>
    </row>
    <row r="11" spans="1:26" x14ac:dyDescent="0.4">
      <c r="A11" s="6" t="s">
        <v>40</v>
      </c>
      <c r="B11" s="6" t="s">
        <v>52</v>
      </c>
      <c r="C11" s="6">
        <v>1</v>
      </c>
      <c r="E11" s="7" t="s">
        <v>92</v>
      </c>
      <c r="F11" s="18">
        <v>8</v>
      </c>
      <c r="G11" s="21">
        <f>S11/4</f>
        <v>2</v>
      </c>
      <c r="H11" s="21">
        <f>J10+H10</f>
        <v>40</v>
      </c>
      <c r="I11" s="26">
        <f>T11/4</f>
        <v>2</v>
      </c>
      <c r="J11" s="27">
        <f>G11*I11</f>
        <v>4</v>
      </c>
      <c r="K11" s="7">
        <f>T11/4</f>
        <v>2</v>
      </c>
      <c r="L11" s="7">
        <f t="shared" si="1"/>
        <v>10</v>
      </c>
      <c r="M11" s="7">
        <f t="shared" si="2"/>
        <v>10</v>
      </c>
      <c r="N11" s="7">
        <f t="shared" si="3"/>
        <v>8</v>
      </c>
      <c r="O11" s="7">
        <f t="shared" si="4"/>
        <v>8</v>
      </c>
      <c r="P11" s="15" t="s">
        <v>74</v>
      </c>
      <c r="Q11" s="7">
        <v>8</v>
      </c>
      <c r="R11" s="7">
        <v>8</v>
      </c>
      <c r="S11" s="7">
        <v>8</v>
      </c>
      <c r="T11" s="7">
        <v>8</v>
      </c>
      <c r="U11" s="7">
        <v>1</v>
      </c>
      <c r="V11" s="7">
        <v>8</v>
      </c>
      <c r="W11" s="7">
        <v>8</v>
      </c>
      <c r="X11" s="7">
        <v>8</v>
      </c>
      <c r="Y11">
        <f>V11*W11*X11*INDEX($C$2:$C$12,MATCH(P11,$A$2:$A$12,0),1)/$B$15</f>
        <v>256</v>
      </c>
      <c r="Z11">
        <f t="shared" si="0"/>
        <v>0</v>
      </c>
    </row>
    <row r="12" spans="1:26" x14ac:dyDescent="0.4">
      <c r="A12" s="6" t="s">
        <v>41</v>
      </c>
      <c r="B12" s="6" t="s">
        <v>51</v>
      </c>
      <c r="C12" s="6">
        <v>64</v>
      </c>
      <c r="E12" s="7" t="s">
        <v>93</v>
      </c>
      <c r="F12" s="18">
        <v>9</v>
      </c>
      <c r="G12" s="21">
        <f>S12/4</f>
        <v>1</v>
      </c>
      <c r="H12" s="21">
        <f>J11+H11</f>
        <v>44</v>
      </c>
      <c r="I12" s="26">
        <f>T12/4</f>
        <v>4</v>
      </c>
      <c r="J12" s="27">
        <f>G12*I12</f>
        <v>4</v>
      </c>
      <c r="K12" s="7">
        <f>T12/4</f>
        <v>4</v>
      </c>
      <c r="L12" s="7">
        <f t="shared" si="1"/>
        <v>8</v>
      </c>
      <c r="M12" s="7">
        <f t="shared" si="2"/>
        <v>8</v>
      </c>
      <c r="N12" s="7">
        <f t="shared" si="3"/>
        <v>8</v>
      </c>
      <c r="O12" s="7">
        <f t="shared" si="4"/>
        <v>8</v>
      </c>
      <c r="P12" s="15" t="s">
        <v>68</v>
      </c>
      <c r="Q12" s="7">
        <v>8</v>
      </c>
      <c r="R12" s="7">
        <v>8</v>
      </c>
      <c r="S12" s="7">
        <v>4</v>
      </c>
      <c r="T12" s="7">
        <v>16</v>
      </c>
      <c r="U12" s="7">
        <v>1</v>
      </c>
      <c r="V12" s="7">
        <v>8</v>
      </c>
      <c r="W12" s="7">
        <v>8</v>
      </c>
      <c r="X12" s="7">
        <v>16</v>
      </c>
      <c r="Y12">
        <f>V12*W12*X12*INDEX($C$2:$C$12,MATCH(P12,$A$2:$A$12,0),1)/$B$15</f>
        <v>1024</v>
      </c>
      <c r="Z12">
        <f t="shared" si="0"/>
        <v>0</v>
      </c>
    </row>
    <row r="13" spans="1:26" x14ac:dyDescent="0.4">
      <c r="E13" s="7" t="s">
        <v>94</v>
      </c>
      <c r="F13" s="18">
        <v>10</v>
      </c>
      <c r="G13" s="21">
        <f>S13/4</f>
        <v>1</v>
      </c>
      <c r="H13" s="21">
        <f>J12+H12</f>
        <v>48</v>
      </c>
      <c r="I13" s="26">
        <f>T13/4</f>
        <v>4</v>
      </c>
      <c r="J13" s="27">
        <f>G13*I13</f>
        <v>4</v>
      </c>
      <c r="K13" s="7">
        <f>T13/4</f>
        <v>4</v>
      </c>
      <c r="L13" s="7">
        <f t="shared" si="1"/>
        <v>8</v>
      </c>
      <c r="M13" s="7">
        <f t="shared" si="2"/>
        <v>8</v>
      </c>
      <c r="N13" s="7">
        <f t="shared" si="3"/>
        <v>8</v>
      </c>
      <c r="O13" s="7">
        <f t="shared" si="4"/>
        <v>8</v>
      </c>
      <c r="P13" s="15" t="s">
        <v>68</v>
      </c>
      <c r="Q13" s="7">
        <v>8</v>
      </c>
      <c r="R13" s="7">
        <v>8</v>
      </c>
      <c r="S13" s="7">
        <v>4</v>
      </c>
      <c r="T13" s="7">
        <v>16</v>
      </c>
      <c r="U13" s="7">
        <v>1</v>
      </c>
      <c r="V13" s="7">
        <v>8</v>
      </c>
      <c r="W13" s="7">
        <v>8</v>
      </c>
      <c r="X13" s="7">
        <v>16</v>
      </c>
      <c r="Y13">
        <f>V13*W13*X13*INDEX($C$2:$C$12,MATCH(P13,$A$2:$A$12,0),1)/$B$15</f>
        <v>1024</v>
      </c>
      <c r="Z13">
        <f t="shared" si="0"/>
        <v>0</v>
      </c>
    </row>
    <row r="14" spans="1:26" x14ac:dyDescent="0.4">
      <c r="E14" s="7" t="s">
        <v>95</v>
      </c>
      <c r="F14" s="18">
        <v>11</v>
      </c>
      <c r="G14" s="21"/>
      <c r="H14" s="21">
        <f>J13+H13</f>
        <v>52</v>
      </c>
      <c r="I14" s="26"/>
      <c r="J14" s="27"/>
      <c r="K14" s="7">
        <f>S14/4/2</f>
        <v>8</v>
      </c>
      <c r="L14" s="7">
        <f t="shared" si="1"/>
        <v>8</v>
      </c>
      <c r="M14" s="7">
        <f t="shared" si="2"/>
        <v>8</v>
      </c>
      <c r="N14" s="7">
        <f t="shared" si="3"/>
        <v>8</v>
      </c>
      <c r="O14" s="7">
        <f t="shared" si="4"/>
        <v>8</v>
      </c>
      <c r="P14" s="15" t="s">
        <v>40</v>
      </c>
      <c r="Q14" s="7">
        <v>8</v>
      </c>
      <c r="R14" s="7">
        <v>8</v>
      </c>
      <c r="S14" s="7">
        <v>64</v>
      </c>
      <c r="T14" s="7">
        <v>1</v>
      </c>
      <c r="U14" s="7">
        <v>1</v>
      </c>
      <c r="V14" s="7">
        <v>8</v>
      </c>
      <c r="W14" s="7">
        <v>8</v>
      </c>
      <c r="X14" s="7">
        <v>32</v>
      </c>
      <c r="Y14">
        <f>V14*W14*X14*INDEX($C$2:$C$12,MATCH(P14,$A$2:$A$12,0),1)/$B$15</f>
        <v>512</v>
      </c>
      <c r="Z14">
        <f t="shared" si="0"/>
        <v>0</v>
      </c>
    </row>
    <row r="15" spans="1:26" x14ac:dyDescent="0.4">
      <c r="A15" s="6" t="s">
        <v>80</v>
      </c>
      <c r="B15">
        <v>4</v>
      </c>
      <c r="D15" t="s">
        <v>84</v>
      </c>
      <c r="E15" s="7" t="s">
        <v>96</v>
      </c>
      <c r="F15" s="18">
        <v>12</v>
      </c>
      <c r="G15" s="21"/>
      <c r="H15" s="21">
        <f>J14+H14</f>
        <v>52</v>
      </c>
      <c r="I15" s="26"/>
      <c r="J15" s="27"/>
      <c r="K15" s="7">
        <f>S15/4</f>
        <v>8</v>
      </c>
      <c r="L15" s="17">
        <f t="shared" si="1"/>
        <v>4</v>
      </c>
      <c r="M15" s="17">
        <f t="shared" si="2"/>
        <v>4</v>
      </c>
      <c r="N15" s="7">
        <f t="shared" si="3"/>
        <v>4</v>
      </c>
      <c r="O15" s="7">
        <f t="shared" si="4"/>
        <v>4</v>
      </c>
      <c r="P15" s="16" t="s">
        <v>78</v>
      </c>
      <c r="Q15" s="7">
        <v>8</v>
      </c>
      <c r="R15" s="7">
        <v>8</v>
      </c>
      <c r="S15" s="7">
        <v>32</v>
      </c>
      <c r="T15" s="7">
        <v>1</v>
      </c>
      <c r="U15" s="7">
        <v>2</v>
      </c>
      <c r="V15" s="7">
        <v>4</v>
      </c>
      <c r="W15" s="7">
        <v>4</v>
      </c>
      <c r="X15" s="7">
        <v>32</v>
      </c>
      <c r="Y15">
        <f>V15*W15*X15*INDEX($C$2:$C$12,MATCH(P15,$A$2:$A$12,0),1)/$B$15</f>
        <v>512</v>
      </c>
      <c r="Z15">
        <f t="shared" si="0"/>
        <v>8</v>
      </c>
    </row>
    <row r="16" spans="1:26" x14ac:dyDescent="0.4">
      <c r="E16" s="7" t="s">
        <v>97</v>
      </c>
      <c r="F16" s="18">
        <v>13</v>
      </c>
      <c r="G16" s="21">
        <f>S16/4</f>
        <v>4</v>
      </c>
      <c r="H16" s="21">
        <f>J15+H15</f>
        <v>52</v>
      </c>
      <c r="I16" s="26">
        <f>T16/4</f>
        <v>2</v>
      </c>
      <c r="J16" s="27">
        <f>G16*I16</f>
        <v>8</v>
      </c>
      <c r="K16" s="7">
        <f>T16/4</f>
        <v>2</v>
      </c>
      <c r="L16" s="7">
        <f t="shared" si="1"/>
        <v>8</v>
      </c>
      <c r="M16" s="7">
        <f t="shared" si="2"/>
        <v>8</v>
      </c>
      <c r="N16" s="7">
        <f t="shared" si="3"/>
        <v>8</v>
      </c>
      <c r="O16" s="7">
        <f t="shared" si="4"/>
        <v>8</v>
      </c>
      <c r="P16" s="16" t="s">
        <v>66</v>
      </c>
      <c r="Q16" s="7">
        <v>8</v>
      </c>
      <c r="R16" s="7">
        <v>8</v>
      </c>
      <c r="S16" s="7">
        <v>16</v>
      </c>
      <c r="T16" s="7">
        <v>8</v>
      </c>
      <c r="U16" s="7">
        <v>1</v>
      </c>
      <c r="V16" s="7">
        <v>8</v>
      </c>
      <c r="W16" s="7">
        <v>8</v>
      </c>
      <c r="X16" s="7">
        <v>8</v>
      </c>
      <c r="Y16">
        <f>V16*W16*X16*INDEX($C$2:$C$12,MATCH(P16,$A$2:$A$12,0),1)/$B$15</f>
        <v>2048</v>
      </c>
      <c r="Z16">
        <f t="shared" si="0"/>
        <v>0</v>
      </c>
    </row>
    <row r="17" spans="5:26" x14ac:dyDescent="0.4">
      <c r="E17" s="7" t="s">
        <v>98</v>
      </c>
      <c r="F17" s="18">
        <v>14</v>
      </c>
      <c r="G17" s="21">
        <f>S17/4</f>
        <v>4</v>
      </c>
      <c r="H17" s="21">
        <f>J16+H16</f>
        <v>60</v>
      </c>
      <c r="I17" s="26">
        <f>T17/4</f>
        <v>2</v>
      </c>
      <c r="J17" s="27">
        <f>G17*I17</f>
        <v>8</v>
      </c>
      <c r="K17" s="7">
        <f>T17/4</f>
        <v>2</v>
      </c>
      <c r="L17" s="7">
        <f t="shared" si="1"/>
        <v>8</v>
      </c>
      <c r="M17" s="7">
        <f t="shared" si="2"/>
        <v>8</v>
      </c>
      <c r="N17" s="7">
        <f t="shared" si="3"/>
        <v>8</v>
      </c>
      <c r="O17" s="7">
        <f t="shared" si="4"/>
        <v>8</v>
      </c>
      <c r="P17" s="16" t="s">
        <v>66</v>
      </c>
      <c r="Q17" s="7">
        <v>8</v>
      </c>
      <c r="R17" s="7">
        <v>8</v>
      </c>
      <c r="S17" s="7">
        <v>16</v>
      </c>
      <c r="T17" s="7">
        <v>8</v>
      </c>
      <c r="U17" s="7">
        <v>1</v>
      </c>
      <c r="V17" s="7">
        <v>8</v>
      </c>
      <c r="W17" s="7">
        <v>8</v>
      </c>
      <c r="X17" s="7">
        <v>8</v>
      </c>
      <c r="Y17">
        <f>V17*W17*X17*INDEX($C$2:$C$12,MATCH(P17,$A$2:$A$12,0),1)/$B$15</f>
        <v>2048</v>
      </c>
      <c r="Z17">
        <f t="shared" si="0"/>
        <v>0</v>
      </c>
    </row>
    <row r="18" spans="5:26" x14ac:dyDescent="0.4">
      <c r="E18" s="7" t="s">
        <v>99</v>
      </c>
      <c r="F18" s="18">
        <v>15</v>
      </c>
      <c r="G18" s="21">
        <v>2</v>
      </c>
      <c r="H18" s="21">
        <f>J17+H17</f>
        <v>68</v>
      </c>
      <c r="I18" s="26">
        <f>T18/4</f>
        <v>4</v>
      </c>
      <c r="J18" s="27">
        <f>G18*I18</f>
        <v>8</v>
      </c>
      <c r="K18" s="7">
        <f>T18/4</f>
        <v>4</v>
      </c>
      <c r="L18" s="7">
        <f t="shared" si="1"/>
        <v>9</v>
      </c>
      <c r="M18" s="7">
        <f t="shared" si="2"/>
        <v>9</v>
      </c>
      <c r="N18" s="7">
        <f t="shared" si="3"/>
        <v>4</v>
      </c>
      <c r="O18" s="7">
        <f t="shared" si="4"/>
        <v>4</v>
      </c>
      <c r="P18" s="16" t="s">
        <v>76</v>
      </c>
      <c r="Q18" s="7">
        <v>8</v>
      </c>
      <c r="R18" s="7">
        <v>8</v>
      </c>
      <c r="S18" s="7">
        <v>16</v>
      </c>
      <c r="T18" s="7">
        <v>16</v>
      </c>
      <c r="U18" s="7">
        <v>2</v>
      </c>
      <c r="V18" s="7">
        <v>4</v>
      </c>
      <c r="W18" s="7">
        <v>4</v>
      </c>
      <c r="X18" s="7">
        <v>16</v>
      </c>
      <c r="Y18">
        <f>V18*W18*X18*INDEX($C$2:$C$12,MATCH(P18,$A$2:$A$12,0),1)/$B$15</f>
        <v>192</v>
      </c>
      <c r="Z18">
        <f t="shared" si="0"/>
        <v>8</v>
      </c>
    </row>
    <row r="19" spans="5:26" x14ac:dyDescent="0.4">
      <c r="E19" s="7" t="s">
        <v>100</v>
      </c>
      <c r="F19" s="18">
        <v>16</v>
      </c>
      <c r="G19" s="21">
        <f>S19/4</f>
        <v>2</v>
      </c>
      <c r="H19" s="21">
        <f>J18+H18</f>
        <v>76</v>
      </c>
      <c r="I19" s="26">
        <f>T19/4</f>
        <v>4</v>
      </c>
      <c r="J19" s="27">
        <f>G19*I19</f>
        <v>8</v>
      </c>
      <c r="K19" s="7">
        <f>T19/4</f>
        <v>4</v>
      </c>
      <c r="L19" s="7">
        <f t="shared" si="1"/>
        <v>4</v>
      </c>
      <c r="M19" s="7">
        <f t="shared" si="2"/>
        <v>4</v>
      </c>
      <c r="N19" s="7">
        <f t="shared" si="3"/>
        <v>4</v>
      </c>
      <c r="O19" s="7">
        <f t="shared" si="4"/>
        <v>4</v>
      </c>
      <c r="P19" s="16" t="s">
        <v>70</v>
      </c>
      <c r="Q19" s="7">
        <v>4</v>
      </c>
      <c r="R19" s="7">
        <v>4</v>
      </c>
      <c r="S19" s="7">
        <v>8</v>
      </c>
      <c r="T19" s="7">
        <v>16</v>
      </c>
      <c r="U19" s="7">
        <v>1</v>
      </c>
      <c r="V19" s="7">
        <v>4</v>
      </c>
      <c r="W19" s="7">
        <v>4</v>
      </c>
      <c r="X19" s="7">
        <v>16</v>
      </c>
      <c r="Y19">
        <f>V19*W19*X19*INDEX($C$2:$C$12,MATCH(P19,$A$2:$A$12,0),1)/$B$15</f>
        <v>512</v>
      </c>
      <c r="Z19">
        <f t="shared" si="0"/>
        <v>0</v>
      </c>
    </row>
    <row r="20" spans="5:26" x14ac:dyDescent="0.4">
      <c r="E20" s="7" t="s">
        <v>101</v>
      </c>
      <c r="F20" s="18">
        <v>17</v>
      </c>
      <c r="G20" s="21">
        <f>S20/4</f>
        <v>2</v>
      </c>
      <c r="H20" s="21">
        <f>J19+H19</f>
        <v>84</v>
      </c>
      <c r="I20" s="26">
        <f>T20/4</f>
        <v>4</v>
      </c>
      <c r="J20" s="27">
        <f>G20*I20</f>
        <v>8</v>
      </c>
      <c r="K20" s="7">
        <f>T20/4</f>
        <v>4</v>
      </c>
      <c r="L20" s="7">
        <f t="shared" si="1"/>
        <v>4</v>
      </c>
      <c r="M20" s="7">
        <f t="shared" si="2"/>
        <v>4</v>
      </c>
      <c r="N20" s="7">
        <f t="shared" si="3"/>
        <v>4</v>
      </c>
      <c r="O20" s="7">
        <f t="shared" si="4"/>
        <v>4</v>
      </c>
      <c r="P20" s="16" t="s">
        <v>70</v>
      </c>
      <c r="Q20" s="7">
        <v>4</v>
      </c>
      <c r="R20" s="7">
        <v>4</v>
      </c>
      <c r="S20" s="7">
        <v>8</v>
      </c>
      <c r="T20" s="7">
        <v>16</v>
      </c>
      <c r="U20" s="7">
        <v>1</v>
      </c>
      <c r="V20" s="7">
        <v>4</v>
      </c>
      <c r="W20" s="7">
        <v>4</v>
      </c>
      <c r="X20" s="7">
        <v>16</v>
      </c>
      <c r="Y20">
        <f>V20*W20*X20*INDEX($C$2:$C$12,MATCH(P20,$A$2:$A$12,0),1)/$B$15</f>
        <v>512</v>
      </c>
      <c r="Z20">
        <f t="shared" si="0"/>
        <v>0</v>
      </c>
    </row>
    <row r="21" spans="5:26" x14ac:dyDescent="0.4">
      <c r="E21" s="7" t="s">
        <v>102</v>
      </c>
      <c r="F21" s="18">
        <v>18</v>
      </c>
      <c r="G21" s="21">
        <f>S21/4</f>
        <v>8</v>
      </c>
      <c r="H21" s="21">
        <f>J20+H20</f>
        <v>92</v>
      </c>
      <c r="I21" s="26">
        <f>T21/4</f>
        <v>2</v>
      </c>
      <c r="J21" s="27">
        <f>G21*I21</f>
        <v>16</v>
      </c>
      <c r="K21" s="7">
        <f>T21/4</f>
        <v>2</v>
      </c>
      <c r="L21" s="7">
        <f t="shared" si="1"/>
        <v>4</v>
      </c>
      <c r="M21" s="7">
        <f t="shared" si="2"/>
        <v>4</v>
      </c>
      <c r="N21" s="7">
        <f t="shared" si="3"/>
        <v>4</v>
      </c>
      <c r="O21" s="7">
        <f t="shared" si="4"/>
        <v>4</v>
      </c>
      <c r="P21" s="10" t="s">
        <v>73</v>
      </c>
      <c r="Q21" s="7">
        <v>4</v>
      </c>
      <c r="R21" s="7">
        <v>4</v>
      </c>
      <c r="S21" s="7">
        <v>32</v>
      </c>
      <c r="T21" s="7">
        <v>8</v>
      </c>
      <c r="U21" s="7">
        <v>1</v>
      </c>
      <c r="V21" s="7">
        <v>4</v>
      </c>
      <c r="W21" s="7">
        <v>4</v>
      </c>
      <c r="X21" s="7">
        <v>8</v>
      </c>
      <c r="Y21">
        <f>V21*W21*X21*INDEX($C$2:$C$12,MATCH(P21,$A$2:$A$12,0),1)/$B$15</f>
        <v>1024</v>
      </c>
      <c r="Z21">
        <f t="shared" si="0"/>
        <v>0</v>
      </c>
    </row>
    <row r="22" spans="5:26" x14ac:dyDescent="0.4">
      <c r="E22" s="7" t="s">
        <v>103</v>
      </c>
      <c r="F22" s="18">
        <v>19</v>
      </c>
      <c r="G22" s="21">
        <f>S22/4</f>
        <v>8</v>
      </c>
      <c r="H22" s="21">
        <f>J21+H21</f>
        <v>108</v>
      </c>
      <c r="I22" s="26">
        <f>T22/4</f>
        <v>2</v>
      </c>
      <c r="J22" s="27">
        <f>G22*I22</f>
        <v>16</v>
      </c>
      <c r="K22" s="7">
        <f>T22/4</f>
        <v>2</v>
      </c>
      <c r="L22" s="7">
        <f t="shared" si="1"/>
        <v>4</v>
      </c>
      <c r="M22" s="7">
        <f t="shared" si="2"/>
        <v>4</v>
      </c>
      <c r="N22" s="7">
        <f t="shared" si="3"/>
        <v>4</v>
      </c>
      <c r="O22" s="7">
        <f t="shared" si="4"/>
        <v>4</v>
      </c>
      <c r="P22" s="10" t="s">
        <v>73</v>
      </c>
      <c r="Q22" s="7">
        <v>4</v>
      </c>
      <c r="R22" s="7">
        <v>4</v>
      </c>
      <c r="S22" s="7">
        <v>32</v>
      </c>
      <c r="T22" s="7">
        <v>8</v>
      </c>
      <c r="U22" s="7">
        <v>1</v>
      </c>
      <c r="V22" s="7">
        <v>4</v>
      </c>
      <c r="W22" s="7">
        <v>4</v>
      </c>
      <c r="X22" s="7">
        <v>8</v>
      </c>
      <c r="Y22">
        <f>V22*W22*X22*INDEX($C$2:$C$12,MATCH(P22,$A$2:$A$12,0),1)/$B$15</f>
        <v>1024</v>
      </c>
      <c r="Z22">
        <f t="shared" si="0"/>
        <v>0</v>
      </c>
    </row>
    <row r="23" spans="5:26" x14ac:dyDescent="0.4">
      <c r="E23" s="7" t="s">
        <v>104</v>
      </c>
      <c r="F23" s="18">
        <v>20</v>
      </c>
      <c r="G23" s="21">
        <v>2</v>
      </c>
      <c r="H23" s="21">
        <f>J22+H22</f>
        <v>124</v>
      </c>
      <c r="I23" s="26">
        <f>T23/4</f>
        <v>4</v>
      </c>
      <c r="J23" s="27">
        <f>G23*I23</f>
        <v>8</v>
      </c>
      <c r="K23" s="7">
        <f>T23/4</f>
        <v>4</v>
      </c>
      <c r="L23" s="7">
        <f t="shared" si="1"/>
        <v>6</v>
      </c>
      <c r="M23" s="7">
        <f t="shared" si="2"/>
        <v>6</v>
      </c>
      <c r="N23" s="7">
        <f t="shared" si="3"/>
        <v>4</v>
      </c>
      <c r="O23" s="7">
        <f t="shared" si="4"/>
        <v>4</v>
      </c>
      <c r="P23" s="10" t="s">
        <v>74</v>
      </c>
      <c r="Q23" s="7">
        <v>4</v>
      </c>
      <c r="R23" s="7">
        <v>4</v>
      </c>
      <c r="S23" s="7">
        <v>16</v>
      </c>
      <c r="T23" s="7">
        <v>16</v>
      </c>
      <c r="U23" s="7">
        <v>1</v>
      </c>
      <c r="V23" s="7">
        <v>4</v>
      </c>
      <c r="W23" s="7">
        <v>4</v>
      </c>
      <c r="X23" s="7">
        <v>16</v>
      </c>
      <c r="Y23">
        <f>V23*W23*X23*INDEX($C$2:$C$12,MATCH(P23,$A$2:$A$12,0),1)/$B$15</f>
        <v>128</v>
      </c>
      <c r="Z23">
        <f t="shared" si="0"/>
        <v>0</v>
      </c>
    </row>
    <row r="24" spans="5:26" x14ac:dyDescent="0.4">
      <c r="E24" s="7" t="s">
        <v>105</v>
      </c>
      <c r="F24" s="18">
        <v>21</v>
      </c>
      <c r="G24" s="21">
        <f>S24/4</f>
        <v>2</v>
      </c>
      <c r="H24" s="21">
        <f>J23+H23</f>
        <v>132</v>
      </c>
      <c r="I24" s="26">
        <f>T24/4</f>
        <v>8</v>
      </c>
      <c r="J24" s="27">
        <f>G24*I24</f>
        <v>16</v>
      </c>
      <c r="K24" s="7">
        <f>T24/4</f>
        <v>8</v>
      </c>
      <c r="L24" s="7">
        <f t="shared" si="1"/>
        <v>4</v>
      </c>
      <c r="M24" s="7">
        <f t="shared" si="2"/>
        <v>4</v>
      </c>
      <c r="N24" s="7">
        <f t="shared" si="3"/>
        <v>4</v>
      </c>
      <c r="O24" s="7">
        <f t="shared" si="4"/>
        <v>4</v>
      </c>
      <c r="P24" s="10" t="s">
        <v>70</v>
      </c>
      <c r="Q24" s="7">
        <v>4</v>
      </c>
      <c r="R24" s="7">
        <v>4</v>
      </c>
      <c r="S24" s="7">
        <v>8</v>
      </c>
      <c r="T24" s="7">
        <v>32</v>
      </c>
      <c r="U24" s="7">
        <v>1</v>
      </c>
      <c r="V24" s="7">
        <v>4</v>
      </c>
      <c r="W24" s="7">
        <v>4</v>
      </c>
      <c r="X24" s="7">
        <v>32</v>
      </c>
      <c r="Y24">
        <f>V24*W24*X24*INDEX($C$2:$C$12,MATCH(P24,$A$2:$A$12,0),1)/$B$15</f>
        <v>1024</v>
      </c>
      <c r="Z24">
        <f t="shared" si="0"/>
        <v>0</v>
      </c>
    </row>
    <row r="25" spans="5:26" x14ac:dyDescent="0.4">
      <c r="E25" s="7" t="s">
        <v>106</v>
      </c>
      <c r="F25" s="18">
        <v>22</v>
      </c>
      <c r="G25" s="21">
        <f>S25/4</f>
        <v>2</v>
      </c>
      <c r="H25" s="21">
        <f>J24+H24</f>
        <v>148</v>
      </c>
      <c r="I25" s="26">
        <f>T25/4</f>
        <v>8</v>
      </c>
      <c r="J25" s="27">
        <f>G25*I25</f>
        <v>16</v>
      </c>
      <c r="K25" s="7">
        <f>T25/4</f>
        <v>8</v>
      </c>
      <c r="L25" s="7">
        <f t="shared" si="1"/>
        <v>4</v>
      </c>
      <c r="M25" s="7">
        <f t="shared" si="2"/>
        <v>4</v>
      </c>
      <c r="N25" s="7">
        <f t="shared" si="3"/>
        <v>4</v>
      </c>
      <c r="O25" s="7">
        <f t="shared" si="4"/>
        <v>4</v>
      </c>
      <c r="P25" s="10" t="s">
        <v>70</v>
      </c>
      <c r="Q25" s="7">
        <v>4</v>
      </c>
      <c r="R25" s="7">
        <v>4</v>
      </c>
      <c r="S25" s="7">
        <v>8</v>
      </c>
      <c r="T25" s="7">
        <v>32</v>
      </c>
      <c r="U25" s="7">
        <v>1</v>
      </c>
      <c r="V25" s="7">
        <v>4</v>
      </c>
      <c r="W25" s="7">
        <v>4</v>
      </c>
      <c r="X25" s="7">
        <v>32</v>
      </c>
      <c r="Y25">
        <f>V25*W25*X25*INDEX($C$2:$C$12,MATCH(P25,$A$2:$A$12,0),1)/$B$15</f>
        <v>1024</v>
      </c>
      <c r="Z25">
        <f t="shared" si="0"/>
        <v>0</v>
      </c>
    </row>
    <row r="26" spans="5:26" x14ac:dyDescent="0.4">
      <c r="E26" s="7" t="s">
        <v>107</v>
      </c>
      <c r="F26" s="18">
        <v>23</v>
      </c>
      <c r="G26" s="21"/>
      <c r="H26" s="21">
        <f>J25+H25</f>
        <v>164</v>
      </c>
      <c r="I26" s="26"/>
      <c r="J26" s="27"/>
      <c r="K26" s="7">
        <f>S26/4/2</f>
        <v>16</v>
      </c>
      <c r="L26" s="7">
        <f t="shared" si="1"/>
        <v>4</v>
      </c>
      <c r="M26" s="7">
        <f t="shared" si="2"/>
        <v>4</v>
      </c>
      <c r="N26" s="7">
        <f t="shared" si="3"/>
        <v>4</v>
      </c>
      <c r="O26" s="7">
        <f t="shared" si="4"/>
        <v>4</v>
      </c>
      <c r="P26" s="10" t="s">
        <v>40</v>
      </c>
      <c r="Q26" s="7">
        <v>4</v>
      </c>
      <c r="R26" s="7">
        <v>4</v>
      </c>
      <c r="S26" s="7">
        <v>128</v>
      </c>
      <c r="T26" s="7">
        <v>1</v>
      </c>
      <c r="U26" s="7">
        <v>1</v>
      </c>
      <c r="V26" s="7">
        <v>4</v>
      </c>
      <c r="W26" s="7">
        <v>4</v>
      </c>
      <c r="X26" s="7">
        <v>64</v>
      </c>
      <c r="Y26">
        <f>V26*W26*X26*INDEX($C$2:$C$12,MATCH(P26,$A$2:$A$12,0),1)/$B$15</f>
        <v>256</v>
      </c>
      <c r="Z26">
        <f t="shared" si="0"/>
        <v>0</v>
      </c>
    </row>
    <row r="27" spans="5:26" x14ac:dyDescent="0.4">
      <c r="G27" s="21"/>
      <c r="H27" s="21">
        <f>J26+H26</f>
        <v>164</v>
      </c>
      <c r="I27" s="26"/>
      <c r="J27" s="27"/>
      <c r="R27" s="7"/>
      <c r="S27" s="7"/>
      <c r="T27" s="7"/>
      <c r="U27" s="7"/>
      <c r="V27" s="7"/>
      <c r="W27" s="7"/>
      <c r="X27" s="7"/>
      <c r="Z27">
        <f t="shared" si="0"/>
        <v>0</v>
      </c>
    </row>
    <row r="28" spans="5:26" x14ac:dyDescent="0.4">
      <c r="E28" s="7" t="s">
        <v>109</v>
      </c>
      <c r="F28" s="18">
        <v>24</v>
      </c>
      <c r="G28" s="21">
        <f>S28/4</f>
        <v>8</v>
      </c>
      <c r="H28" s="21">
        <f>J27+H27</f>
        <v>164</v>
      </c>
      <c r="I28" s="26">
        <f>T28/4</f>
        <v>2</v>
      </c>
      <c r="J28" s="27">
        <f>G28*I28</f>
        <v>16</v>
      </c>
      <c r="K28" s="7">
        <f>T28/4</f>
        <v>2</v>
      </c>
      <c r="L28" s="7">
        <f t="shared" si="1"/>
        <v>4</v>
      </c>
      <c r="M28" s="7">
        <f t="shared" si="2"/>
        <v>4</v>
      </c>
      <c r="N28" s="7">
        <f t="shared" si="3"/>
        <v>4</v>
      </c>
      <c r="O28" s="7">
        <f t="shared" si="4"/>
        <v>4</v>
      </c>
      <c r="P28" s="10" t="s">
        <v>73</v>
      </c>
      <c r="Q28" s="7">
        <v>4</v>
      </c>
      <c r="R28" s="7">
        <v>4</v>
      </c>
      <c r="S28" s="7">
        <v>32</v>
      </c>
      <c r="T28" s="7">
        <v>8</v>
      </c>
      <c r="U28" s="7">
        <v>1</v>
      </c>
      <c r="V28" s="7">
        <v>4</v>
      </c>
      <c r="W28" s="7">
        <v>4</v>
      </c>
      <c r="X28" s="7">
        <v>8</v>
      </c>
      <c r="Y28">
        <f>V28*W28*X28*INDEX($C$2:$C$12,MATCH(P28,$A$2:$A$12,0),1)/$B$15</f>
        <v>1024</v>
      </c>
      <c r="Z28">
        <f t="shared" si="0"/>
        <v>0</v>
      </c>
    </row>
    <row r="29" spans="5:26" x14ac:dyDescent="0.4">
      <c r="E29" s="7" t="s">
        <v>110</v>
      </c>
      <c r="F29" s="18">
        <v>25</v>
      </c>
      <c r="G29" s="21">
        <f>S29/4</f>
        <v>8</v>
      </c>
      <c r="H29" s="21">
        <f>J28+H28</f>
        <v>180</v>
      </c>
      <c r="I29" s="26">
        <f>T29/4</f>
        <v>2</v>
      </c>
      <c r="J29" s="27">
        <f>G29*I29</f>
        <v>16</v>
      </c>
      <c r="K29" s="7">
        <f>T29/4</f>
        <v>2</v>
      </c>
      <c r="L29" s="7">
        <f t="shared" si="1"/>
        <v>4</v>
      </c>
      <c r="M29" s="7">
        <f t="shared" si="2"/>
        <v>4</v>
      </c>
      <c r="N29" s="7">
        <f t="shared" si="3"/>
        <v>4</v>
      </c>
      <c r="O29" s="7">
        <f t="shared" si="4"/>
        <v>4</v>
      </c>
      <c r="P29" s="10" t="s">
        <v>73</v>
      </c>
      <c r="Q29" s="7">
        <v>4</v>
      </c>
      <c r="R29" s="7">
        <v>4</v>
      </c>
      <c r="S29" s="7">
        <v>32</v>
      </c>
      <c r="T29" s="7">
        <v>8</v>
      </c>
      <c r="U29" s="7">
        <v>1</v>
      </c>
      <c r="V29" s="7">
        <v>4</v>
      </c>
      <c r="W29" s="7">
        <v>4</v>
      </c>
      <c r="X29" s="7">
        <v>8</v>
      </c>
      <c r="Y29">
        <f>V29*W29*X29*INDEX($C$2:$C$12,MATCH(P29,$A$2:$A$12,0),1)/$B$15</f>
        <v>1024</v>
      </c>
      <c r="Z29">
        <f t="shared" si="0"/>
        <v>0</v>
      </c>
    </row>
    <row r="30" spans="5:26" x14ac:dyDescent="0.4">
      <c r="E30" s="7" t="s">
        <v>113</v>
      </c>
      <c r="F30" s="18">
        <v>26</v>
      </c>
      <c r="G30" s="21">
        <v>2</v>
      </c>
      <c r="H30" s="21">
        <f>J29+H29</f>
        <v>196</v>
      </c>
      <c r="I30" s="26">
        <f>T30/4</f>
        <v>4</v>
      </c>
      <c r="J30" s="27">
        <f>G30*I30</f>
        <v>8</v>
      </c>
      <c r="K30" s="7">
        <f>T30/4</f>
        <v>4</v>
      </c>
      <c r="L30" s="7">
        <f t="shared" si="1"/>
        <v>6</v>
      </c>
      <c r="M30" s="7">
        <f t="shared" si="2"/>
        <v>6</v>
      </c>
      <c r="N30" s="7">
        <f t="shared" si="3"/>
        <v>4</v>
      </c>
      <c r="O30" s="7">
        <f t="shared" si="4"/>
        <v>4</v>
      </c>
      <c r="P30" s="10" t="s">
        <v>74</v>
      </c>
      <c r="Q30" s="7">
        <v>4</v>
      </c>
      <c r="R30" s="7">
        <v>4</v>
      </c>
      <c r="S30" s="7">
        <v>16</v>
      </c>
      <c r="T30" s="7">
        <v>16</v>
      </c>
      <c r="U30" s="7">
        <v>1</v>
      </c>
      <c r="V30" s="7">
        <v>4</v>
      </c>
      <c r="W30" s="7">
        <v>4</v>
      </c>
      <c r="X30" s="7">
        <v>16</v>
      </c>
      <c r="Y30">
        <f>V30*W30*X30*INDEX($C$2:$C$12,MATCH(P30,$A$2:$A$12,0),1)/$B$15</f>
        <v>128</v>
      </c>
      <c r="Z30">
        <f t="shared" si="0"/>
        <v>0</v>
      </c>
    </row>
    <row r="31" spans="5:26" x14ac:dyDescent="0.4">
      <c r="E31" s="7" t="s">
        <v>111</v>
      </c>
      <c r="F31" s="18">
        <v>27</v>
      </c>
      <c r="G31" s="21">
        <f>S31/4</f>
        <v>2</v>
      </c>
      <c r="H31" s="21">
        <f>J30+H30</f>
        <v>204</v>
      </c>
      <c r="I31" s="26">
        <f>T31/4</f>
        <v>8</v>
      </c>
      <c r="J31" s="27">
        <f>G31*I31</f>
        <v>16</v>
      </c>
      <c r="K31" s="7">
        <f>T31/4</f>
        <v>8</v>
      </c>
      <c r="L31" s="7">
        <f t="shared" si="1"/>
        <v>4</v>
      </c>
      <c r="M31" s="7">
        <f t="shared" si="2"/>
        <v>4</v>
      </c>
      <c r="N31" s="7">
        <f t="shared" si="3"/>
        <v>4</v>
      </c>
      <c r="O31" s="7">
        <f t="shared" si="4"/>
        <v>4</v>
      </c>
      <c r="P31" s="10" t="s">
        <v>70</v>
      </c>
      <c r="Q31" s="7">
        <v>4</v>
      </c>
      <c r="R31" s="7">
        <v>4</v>
      </c>
      <c r="S31" s="7">
        <v>8</v>
      </c>
      <c r="T31" s="7">
        <v>32</v>
      </c>
      <c r="U31" s="7">
        <v>1</v>
      </c>
      <c r="V31" s="7">
        <v>4</v>
      </c>
      <c r="W31" s="7">
        <v>4</v>
      </c>
      <c r="X31" s="7">
        <v>32</v>
      </c>
      <c r="Y31">
        <f>V31*W31*X31*INDEX($C$2:$C$12,MATCH(P31,$A$2:$A$12,0),1)/$B$15</f>
        <v>1024</v>
      </c>
      <c r="Z31">
        <f t="shared" si="0"/>
        <v>0</v>
      </c>
    </row>
    <row r="32" spans="5:26" x14ac:dyDescent="0.4">
      <c r="E32" s="7" t="s">
        <v>112</v>
      </c>
      <c r="F32" s="18">
        <v>28</v>
      </c>
      <c r="G32" s="21">
        <f>S32/4</f>
        <v>2</v>
      </c>
      <c r="H32" s="21">
        <f>J31+H31</f>
        <v>220</v>
      </c>
      <c r="I32" s="26">
        <f>T32/4</f>
        <v>8</v>
      </c>
      <c r="J32" s="27">
        <f>G32*I32</f>
        <v>16</v>
      </c>
      <c r="K32" s="7">
        <f>T32/4</f>
        <v>8</v>
      </c>
      <c r="L32" s="7">
        <f t="shared" si="1"/>
        <v>4</v>
      </c>
      <c r="M32" s="7">
        <f t="shared" si="2"/>
        <v>4</v>
      </c>
      <c r="N32" s="7">
        <f t="shared" si="3"/>
        <v>4</v>
      </c>
      <c r="O32" s="7">
        <f t="shared" si="4"/>
        <v>4</v>
      </c>
      <c r="P32" s="10" t="s">
        <v>70</v>
      </c>
      <c r="Q32" s="7">
        <v>4</v>
      </c>
      <c r="R32" s="7">
        <v>4</v>
      </c>
      <c r="S32" s="7">
        <v>8</v>
      </c>
      <c r="T32" s="7">
        <v>32</v>
      </c>
      <c r="U32" s="7">
        <v>1</v>
      </c>
      <c r="V32" s="7">
        <v>4</v>
      </c>
      <c r="W32" s="7">
        <v>4</v>
      </c>
      <c r="X32" s="7">
        <v>32</v>
      </c>
      <c r="Y32">
        <f>V32*W32*X32*INDEX($C$2:$C$12,MATCH(P32,$A$2:$A$12,0),1)/$B$15</f>
        <v>1024</v>
      </c>
      <c r="Z32">
        <f t="shared" si="0"/>
        <v>0</v>
      </c>
    </row>
    <row r="33" spans="5:26" x14ac:dyDescent="0.4">
      <c r="E33" s="7" t="s">
        <v>108</v>
      </c>
      <c r="F33" s="18">
        <v>29</v>
      </c>
      <c r="G33" s="21"/>
      <c r="H33" s="21">
        <f>J32+H32</f>
        <v>236</v>
      </c>
      <c r="I33" s="26"/>
      <c r="J33" s="27"/>
      <c r="K33" s="7">
        <f>S33/4/2</f>
        <v>16</v>
      </c>
      <c r="L33" s="7">
        <f t="shared" si="1"/>
        <v>4</v>
      </c>
      <c r="M33" s="7">
        <f t="shared" si="2"/>
        <v>4</v>
      </c>
      <c r="N33" s="7">
        <f t="shared" si="3"/>
        <v>4</v>
      </c>
      <c r="O33" s="7">
        <f t="shared" si="4"/>
        <v>4</v>
      </c>
      <c r="P33" s="10" t="s">
        <v>40</v>
      </c>
      <c r="Q33" s="7">
        <v>4</v>
      </c>
      <c r="R33" s="7">
        <v>4</v>
      </c>
      <c r="S33" s="7">
        <v>128</v>
      </c>
      <c r="T33" s="7">
        <v>1</v>
      </c>
      <c r="U33" s="7">
        <v>1</v>
      </c>
      <c r="V33" s="7">
        <v>4</v>
      </c>
      <c r="W33" s="7">
        <v>4</v>
      </c>
      <c r="X33" s="7">
        <v>64</v>
      </c>
      <c r="Y33">
        <f>V33*W33*X33*INDEX($C$2:$C$12,MATCH(P33,$A$2:$A$12,0),1)/$B$15</f>
        <v>256</v>
      </c>
      <c r="Z33">
        <f t="shared" si="0"/>
        <v>0</v>
      </c>
    </row>
    <row r="34" spans="5:26" x14ac:dyDescent="0.4">
      <c r="G34" s="21"/>
      <c r="H34" s="21">
        <f>J33+H33</f>
        <v>236</v>
      </c>
      <c r="I34" s="26"/>
      <c r="J34" s="27"/>
      <c r="R34" s="7"/>
      <c r="S34" s="7"/>
      <c r="T34" s="7"/>
      <c r="U34" s="7"/>
      <c r="V34" s="7"/>
      <c r="W34" s="7"/>
      <c r="X34" s="7"/>
      <c r="Z34">
        <f t="shared" si="0"/>
        <v>0</v>
      </c>
    </row>
    <row r="35" spans="5:26" x14ac:dyDescent="0.4">
      <c r="E35" s="7" t="s">
        <v>114</v>
      </c>
      <c r="F35" s="18">
        <v>30</v>
      </c>
      <c r="G35" s="21">
        <f>S35/4</f>
        <v>8</v>
      </c>
      <c r="H35" s="21">
        <f>J34+H34</f>
        <v>236</v>
      </c>
      <c r="I35" s="26">
        <f>T35/4</f>
        <v>2</v>
      </c>
      <c r="J35" s="27">
        <f>G35*I35</f>
        <v>16</v>
      </c>
      <c r="K35" s="7">
        <f>T35/4</f>
        <v>2</v>
      </c>
      <c r="L35" s="7">
        <f t="shared" si="1"/>
        <v>4</v>
      </c>
      <c r="M35" s="7">
        <f t="shared" si="2"/>
        <v>4</v>
      </c>
      <c r="N35" s="7">
        <f t="shared" si="3"/>
        <v>4</v>
      </c>
      <c r="O35" s="7">
        <f t="shared" si="4"/>
        <v>4</v>
      </c>
      <c r="P35" s="10" t="s">
        <v>73</v>
      </c>
      <c r="Q35" s="7">
        <v>4</v>
      </c>
      <c r="R35" s="7">
        <v>4</v>
      </c>
      <c r="S35" s="7">
        <v>32</v>
      </c>
      <c r="T35" s="7">
        <v>8</v>
      </c>
      <c r="U35" s="7">
        <v>1</v>
      </c>
      <c r="V35" s="7">
        <v>4</v>
      </c>
      <c r="W35" s="7">
        <v>4</v>
      </c>
      <c r="X35" s="7">
        <v>8</v>
      </c>
      <c r="Y35">
        <f>V35*W35*X35*INDEX($C$2:$C$12,MATCH(P35,$A$2:$A$12,0),1)/$B$15</f>
        <v>1024</v>
      </c>
      <c r="Z35">
        <f t="shared" si="0"/>
        <v>0</v>
      </c>
    </row>
    <row r="36" spans="5:26" x14ac:dyDescent="0.4">
      <c r="E36" s="7" t="s">
        <v>115</v>
      </c>
      <c r="F36" s="18">
        <v>31</v>
      </c>
      <c r="G36" s="21">
        <f>S36/4</f>
        <v>8</v>
      </c>
      <c r="H36" s="21">
        <f>J35+H35</f>
        <v>252</v>
      </c>
      <c r="I36" s="26">
        <f>T36/4</f>
        <v>2</v>
      </c>
      <c r="J36" s="27">
        <f>G36*I36</f>
        <v>16</v>
      </c>
      <c r="K36" s="7">
        <f>T36/4</f>
        <v>2</v>
      </c>
      <c r="L36" s="7">
        <f t="shared" si="1"/>
        <v>4</v>
      </c>
      <c r="M36" s="7">
        <f t="shared" si="2"/>
        <v>4</v>
      </c>
      <c r="N36" s="7">
        <f t="shared" si="3"/>
        <v>4</v>
      </c>
      <c r="O36" s="7">
        <f t="shared" si="4"/>
        <v>4</v>
      </c>
      <c r="P36" s="10" t="s">
        <v>73</v>
      </c>
      <c r="Q36" s="7">
        <v>4</v>
      </c>
      <c r="R36" s="7">
        <v>4</v>
      </c>
      <c r="S36" s="7">
        <v>32</v>
      </c>
      <c r="T36" s="7">
        <v>8</v>
      </c>
      <c r="U36" s="7">
        <v>1</v>
      </c>
      <c r="V36" s="7">
        <v>4</v>
      </c>
      <c r="W36" s="7">
        <v>4</v>
      </c>
      <c r="X36" s="7">
        <v>8</v>
      </c>
      <c r="Y36">
        <f>V36*W36*X36*INDEX($C$2:$C$12,MATCH(P36,$A$2:$A$12,0),1)/$B$15</f>
        <v>1024</v>
      </c>
      <c r="Z36">
        <f t="shared" si="0"/>
        <v>0</v>
      </c>
    </row>
    <row r="37" spans="5:26" x14ac:dyDescent="0.4">
      <c r="E37" s="7" t="s">
        <v>120</v>
      </c>
      <c r="F37" s="18">
        <v>32</v>
      </c>
      <c r="G37" s="21">
        <v>2</v>
      </c>
      <c r="H37" s="21">
        <f>J36+H36</f>
        <v>268</v>
      </c>
      <c r="I37" s="26">
        <f>T37/4</f>
        <v>4</v>
      </c>
      <c r="J37" s="27">
        <f>G37*I37</f>
        <v>8</v>
      </c>
      <c r="K37" s="7">
        <f>T37/4</f>
        <v>4</v>
      </c>
      <c r="L37" s="7">
        <f t="shared" si="1"/>
        <v>6</v>
      </c>
      <c r="M37" s="7">
        <f t="shared" si="2"/>
        <v>6</v>
      </c>
      <c r="N37" s="7">
        <f t="shared" si="3"/>
        <v>4</v>
      </c>
      <c r="O37" s="7">
        <f t="shared" si="4"/>
        <v>4</v>
      </c>
      <c r="P37" s="10" t="s">
        <v>74</v>
      </c>
      <c r="Q37" s="7">
        <v>4</v>
      </c>
      <c r="R37" s="7">
        <v>4</v>
      </c>
      <c r="S37" s="7">
        <v>16</v>
      </c>
      <c r="T37" s="7">
        <v>16</v>
      </c>
      <c r="U37" s="7">
        <v>1</v>
      </c>
      <c r="V37" s="7">
        <v>4</v>
      </c>
      <c r="W37" s="7">
        <v>4</v>
      </c>
      <c r="X37" s="7">
        <v>16</v>
      </c>
      <c r="Y37">
        <f>V37*W37*X37*INDEX($C$2:$C$12,MATCH(P37,$A$2:$A$12,0),1)/$B$15</f>
        <v>128</v>
      </c>
      <c r="Z37">
        <f t="shared" si="0"/>
        <v>0</v>
      </c>
    </row>
    <row r="38" spans="5:26" x14ac:dyDescent="0.4">
      <c r="E38" s="7" t="s">
        <v>116</v>
      </c>
      <c r="F38" s="18">
        <v>33</v>
      </c>
      <c r="G38" s="21">
        <f>S38/4</f>
        <v>2</v>
      </c>
      <c r="H38" s="21">
        <f>J37+H37</f>
        <v>276</v>
      </c>
      <c r="I38" s="26">
        <f>T38/4</f>
        <v>8</v>
      </c>
      <c r="J38" s="27">
        <f>G38*I38</f>
        <v>16</v>
      </c>
      <c r="K38" s="7">
        <f>T38/4</f>
        <v>8</v>
      </c>
      <c r="L38" s="7">
        <f t="shared" si="1"/>
        <v>4</v>
      </c>
      <c r="M38" s="7">
        <f t="shared" si="2"/>
        <v>4</v>
      </c>
      <c r="N38" s="7">
        <f t="shared" si="3"/>
        <v>4</v>
      </c>
      <c r="O38" s="7">
        <f t="shared" si="4"/>
        <v>4</v>
      </c>
      <c r="P38" s="10" t="s">
        <v>70</v>
      </c>
      <c r="Q38" s="7">
        <v>4</v>
      </c>
      <c r="R38" s="7">
        <v>4</v>
      </c>
      <c r="S38" s="7">
        <v>8</v>
      </c>
      <c r="T38" s="7">
        <v>32</v>
      </c>
      <c r="U38" s="7">
        <v>1</v>
      </c>
      <c r="V38" s="7">
        <v>4</v>
      </c>
      <c r="W38" s="7">
        <v>4</v>
      </c>
      <c r="X38" s="7">
        <v>32</v>
      </c>
      <c r="Y38">
        <f>V38*W38*X38*INDEX($C$2:$C$12,MATCH(P38,$A$2:$A$12,0),1)/$B$15</f>
        <v>1024</v>
      </c>
      <c r="Z38">
        <f t="shared" si="0"/>
        <v>0</v>
      </c>
    </row>
    <row r="39" spans="5:26" x14ac:dyDescent="0.4">
      <c r="E39" s="7" t="s">
        <v>117</v>
      </c>
      <c r="F39" s="18">
        <v>34</v>
      </c>
      <c r="G39" s="21">
        <f>S39/4</f>
        <v>2</v>
      </c>
      <c r="H39" s="21">
        <f>J38+H38</f>
        <v>292</v>
      </c>
      <c r="I39" s="26">
        <f>T39/4</f>
        <v>8</v>
      </c>
      <c r="J39" s="27">
        <f>G39*I39</f>
        <v>16</v>
      </c>
      <c r="K39" s="7">
        <f>T39/4</f>
        <v>8</v>
      </c>
      <c r="L39" s="7">
        <f t="shared" si="1"/>
        <v>4</v>
      </c>
      <c r="M39" s="7">
        <f t="shared" si="2"/>
        <v>4</v>
      </c>
      <c r="N39" s="7">
        <f t="shared" si="3"/>
        <v>4</v>
      </c>
      <c r="O39" s="7">
        <f t="shared" si="4"/>
        <v>4</v>
      </c>
      <c r="P39" s="10" t="s">
        <v>70</v>
      </c>
      <c r="Q39" s="7">
        <v>4</v>
      </c>
      <c r="R39" s="7">
        <v>4</v>
      </c>
      <c r="S39" s="7">
        <v>8</v>
      </c>
      <c r="T39" s="7">
        <v>32</v>
      </c>
      <c r="U39" s="7">
        <v>1</v>
      </c>
      <c r="V39" s="7">
        <v>4</v>
      </c>
      <c r="W39" s="7">
        <v>4</v>
      </c>
      <c r="X39" s="7">
        <v>32</v>
      </c>
      <c r="Y39">
        <f>V39*W39*X39*INDEX($C$2:$C$12,MATCH(P39,$A$2:$A$12,0),1)/$B$15</f>
        <v>1024</v>
      </c>
      <c r="Z39">
        <f t="shared" si="0"/>
        <v>0</v>
      </c>
    </row>
    <row r="40" spans="5:26" x14ac:dyDescent="0.4">
      <c r="E40" s="7" t="s">
        <v>118</v>
      </c>
      <c r="F40" s="18">
        <v>35</v>
      </c>
      <c r="G40" s="18"/>
      <c r="H40" s="21">
        <f>J39+H39</f>
        <v>308</v>
      </c>
      <c r="J40" s="27"/>
      <c r="K40" s="7">
        <f>S40/4/2</f>
        <v>16</v>
      </c>
      <c r="L40" s="7">
        <f t="shared" si="1"/>
        <v>4</v>
      </c>
      <c r="M40" s="7">
        <f t="shared" si="2"/>
        <v>4</v>
      </c>
      <c r="N40" s="7">
        <f t="shared" si="3"/>
        <v>4</v>
      </c>
      <c r="O40" s="7">
        <f t="shared" si="4"/>
        <v>4</v>
      </c>
      <c r="P40" s="10" t="s">
        <v>40</v>
      </c>
      <c r="Q40" s="7">
        <v>4</v>
      </c>
      <c r="R40" s="7">
        <v>4</v>
      </c>
      <c r="S40" s="7">
        <v>128</v>
      </c>
      <c r="T40" s="7">
        <v>1</v>
      </c>
      <c r="U40" s="7">
        <v>1</v>
      </c>
      <c r="V40" s="7">
        <v>4</v>
      </c>
      <c r="W40" s="7">
        <v>4</v>
      </c>
      <c r="X40" s="7">
        <v>64</v>
      </c>
      <c r="Y40">
        <f>V40*W40*X40*INDEX($C$2:$C$12,MATCH(P40,$A$2:$A$12,0),1)/$B$15</f>
        <v>256</v>
      </c>
      <c r="Z40">
        <f t="shared" si="0"/>
        <v>0</v>
      </c>
    </row>
    <row r="41" spans="5:26" x14ac:dyDescent="0.4">
      <c r="E41" s="7" t="s">
        <v>119</v>
      </c>
      <c r="F41" s="18">
        <v>36</v>
      </c>
      <c r="G41" s="18"/>
      <c r="H41" s="21">
        <f>J40+H40</f>
        <v>308</v>
      </c>
      <c r="J41" s="27"/>
      <c r="K41" s="7">
        <f>S41/4</f>
        <v>16</v>
      </c>
      <c r="L41" s="7">
        <f t="shared" si="1"/>
        <v>4</v>
      </c>
      <c r="M41" s="7">
        <f t="shared" si="2"/>
        <v>4</v>
      </c>
      <c r="N41" s="7">
        <f t="shared" si="3"/>
        <v>1</v>
      </c>
      <c r="O41" s="7">
        <f t="shared" si="4"/>
        <v>1</v>
      </c>
      <c r="P41" s="8" t="s">
        <v>43</v>
      </c>
      <c r="Q41" s="7">
        <v>4</v>
      </c>
      <c r="R41" s="7">
        <v>4</v>
      </c>
      <c r="S41" s="7">
        <v>64</v>
      </c>
      <c r="T41" s="7"/>
      <c r="U41" s="7"/>
      <c r="V41" s="7">
        <v>1</v>
      </c>
      <c r="W41" s="7">
        <v>1</v>
      </c>
      <c r="X41" s="7">
        <v>64</v>
      </c>
      <c r="Y41">
        <f>V41*W41*X41*INDEX($C$2:$C$12,MATCH(P41,$A$2:$A$12,0),1)/$B$15</f>
        <v>256</v>
      </c>
      <c r="Z41">
        <f t="shared" si="0"/>
        <v>0</v>
      </c>
    </row>
    <row r="42" spans="5:26" x14ac:dyDescent="0.4">
      <c r="E42" s="7" t="s">
        <v>41</v>
      </c>
      <c r="F42" s="18">
        <v>37</v>
      </c>
      <c r="G42" s="18">
        <v>16</v>
      </c>
      <c r="H42" s="21">
        <f>J41+H41</f>
        <v>308</v>
      </c>
      <c r="I42" s="22">
        <v>1</v>
      </c>
      <c r="J42" s="27">
        <f>G42*I42</f>
        <v>16</v>
      </c>
      <c r="N42" s="7">
        <f t="shared" si="3"/>
        <v>1</v>
      </c>
      <c r="O42" s="7">
        <f t="shared" si="4"/>
        <v>1</v>
      </c>
      <c r="P42" s="8" t="s">
        <v>41</v>
      </c>
      <c r="Q42" s="7">
        <v>1</v>
      </c>
      <c r="R42" s="7">
        <v>1</v>
      </c>
      <c r="S42" s="7">
        <v>64</v>
      </c>
      <c r="T42" s="7"/>
      <c r="U42" s="7"/>
      <c r="V42" s="7">
        <v>1</v>
      </c>
      <c r="W42" s="7">
        <v>1</v>
      </c>
      <c r="X42" s="7">
        <v>2</v>
      </c>
      <c r="Y42">
        <f>V42*W42*X42*INDEX($C$2:$C$12,MATCH(P42,$A$2:$A$12,0),1)/2</f>
        <v>64</v>
      </c>
    </row>
    <row r="43" spans="5:26" x14ac:dyDescent="0.4">
      <c r="G43" s="18"/>
      <c r="P43" s="12" t="s">
        <v>58</v>
      </c>
      <c r="R43" s="7"/>
      <c r="S43" s="7"/>
      <c r="T43" s="7"/>
      <c r="U43" s="7"/>
      <c r="V43" s="7"/>
      <c r="W43" s="7"/>
      <c r="X43" s="7"/>
      <c r="Y43">
        <f>SUM(Y3:Z42)</f>
        <v>50128</v>
      </c>
      <c r="Z43">
        <v>65014</v>
      </c>
    </row>
    <row r="44" spans="5:26" x14ac:dyDescent="0.4">
      <c r="E44"/>
      <c r="G44" s="18"/>
      <c r="R44" s="7"/>
      <c r="S44" s="7"/>
      <c r="T44" s="7"/>
      <c r="U44" s="7"/>
      <c r="V44" s="7"/>
      <c r="W44" s="7"/>
      <c r="X44" s="7" t="s">
        <v>13</v>
      </c>
      <c r="Y44">
        <f>Y43/100000000</f>
        <v>5.0128E-4</v>
      </c>
      <c r="Z44">
        <f>Z43/100000000</f>
        <v>6.5014000000000001E-4</v>
      </c>
    </row>
    <row r="45" spans="5:26" x14ac:dyDescent="0.4">
      <c r="E45"/>
      <c r="G45" s="18"/>
      <c r="R45" s="7"/>
      <c r="S45" s="7"/>
      <c r="T45" s="7"/>
      <c r="U45" s="7"/>
      <c r="V45" s="7"/>
      <c r="W45" s="7"/>
      <c r="X45" s="7" t="s">
        <v>14</v>
      </c>
      <c r="Y45">
        <f>Y43/50000000</f>
        <v>1.00256E-3</v>
      </c>
      <c r="Z45">
        <f>Z43/50000000</f>
        <v>1.30028E-3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工作表4</vt:lpstr>
      <vt:lpstr>Shuffle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育丞 吳</dc:creator>
  <cp:lastModifiedBy>Tim Tai</cp:lastModifiedBy>
  <dcterms:created xsi:type="dcterms:W3CDTF">2024-01-23T15:50:01Z</dcterms:created>
  <dcterms:modified xsi:type="dcterms:W3CDTF">2024-04-03T11:45:29Z</dcterms:modified>
</cp:coreProperties>
</file>