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975" windowWidth="27600" windowHeight="13725" tabRatio="892" activeTab="7"/>
  </bookViews>
  <sheets>
    <sheet name="Water" sheetId="1" r:id="rId1"/>
    <sheet name="Soil_Composite" sheetId="2" r:id="rId2"/>
    <sheet name="Soil_Detailed" sheetId="3" r:id="rId3"/>
    <sheet name="Filter" sheetId="4" r:id="rId4"/>
    <sheet name="FieldConcentrations" sheetId="9" r:id="rId5"/>
    <sheet name="ConcSpatial" sheetId="11" r:id="rId6"/>
    <sheet name="MassAll_old" sheetId="10" r:id="rId7"/>
    <sheet name="App1" sheetId="14"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7" hidden="1">'App1'!$A$19:$AU$40</definedName>
    <definedName name="_xlnm._FilterDatabase" localSheetId="3" hidden="1">Filter!$B$5:$B$38</definedName>
    <definedName name="_xlnm._FilterDatabase" localSheetId="6" hidden="1">MassAll_old!$A$19:$BB$40</definedName>
    <definedName name="_xlnm._FilterDatabase" localSheetId="1" hidden="1">Soil_Composite!$10:$61</definedName>
    <definedName name="_xlnm._FilterDatabase" localSheetId="2" hidden="1">Soil_Detailed!$A$7:$XFB$73</definedName>
    <definedName name="_xlnm._FilterDatabase" localSheetId="0" hidden="1">Water!$A$7:$V$49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40" i="10" l="1"/>
  <c r="G40" i="10"/>
  <c r="G20" i="10"/>
  <c r="C7" i="10"/>
  <c r="I20" i="10"/>
  <c r="J20" i="10"/>
  <c r="AE36" i="10"/>
  <c r="AX25" i="10"/>
  <c r="I37" i="14"/>
  <c r="I21" i="14"/>
  <c r="J21" i="14"/>
  <c r="C10" i="14"/>
  <c r="L21" i="14"/>
  <c r="M21" i="14"/>
  <c r="I40" i="14"/>
  <c r="J40" i="14"/>
  <c r="J20" i="14"/>
  <c r="L20" i="14"/>
  <c r="M20" i="14"/>
  <c r="I23" i="14"/>
  <c r="J23" i="14"/>
  <c r="L23" i="14"/>
  <c r="M23" i="14"/>
  <c r="I25" i="14"/>
  <c r="J25" i="14"/>
  <c r="L25" i="14"/>
  <c r="M25" i="14"/>
  <c r="I26" i="14"/>
  <c r="J26" i="14"/>
  <c r="L26" i="14"/>
  <c r="M26" i="14"/>
  <c r="I27" i="14"/>
  <c r="J27" i="14"/>
  <c r="M27" i="14"/>
  <c r="I28" i="14"/>
  <c r="J28" i="14"/>
  <c r="L28" i="14"/>
  <c r="M28" i="14"/>
  <c r="I30" i="14"/>
  <c r="J30" i="14"/>
  <c r="L30" i="14"/>
  <c r="M30" i="14"/>
  <c r="I31" i="14"/>
  <c r="J31" i="14"/>
  <c r="L31" i="14"/>
  <c r="M31" i="14"/>
  <c r="I32" i="14"/>
  <c r="J32" i="14"/>
  <c r="L32" i="14"/>
  <c r="M32" i="14"/>
  <c r="I33" i="14"/>
  <c r="J33" i="14"/>
  <c r="M33" i="14"/>
  <c r="I34" i="14"/>
  <c r="J34" i="14"/>
  <c r="M34" i="14"/>
  <c r="I35" i="14"/>
  <c r="J35" i="14"/>
  <c r="L35" i="14"/>
  <c r="M35" i="14"/>
  <c r="I36" i="14"/>
  <c r="J36" i="14"/>
  <c r="L36" i="14"/>
  <c r="M36" i="14"/>
  <c r="J37" i="14"/>
  <c r="C11" i="14"/>
  <c r="L37" i="14"/>
  <c r="M37" i="14"/>
  <c r="I38" i="14"/>
  <c r="J38" i="14"/>
  <c r="M38" i="14"/>
  <c r="I39" i="14"/>
  <c r="J39" i="14"/>
  <c r="L39" i="14"/>
  <c r="M39" i="14"/>
  <c r="L40" i="14"/>
  <c r="M40" i="14"/>
  <c r="M41" i="14"/>
  <c r="P20" i="14"/>
  <c r="I29" i="14"/>
  <c r="I24" i="14"/>
  <c r="I22" i="14"/>
  <c r="I20" i="14"/>
  <c r="W36" i="14"/>
  <c r="AI25" i="14"/>
  <c r="B15" i="14"/>
  <c r="C106" i="14"/>
  <c r="A106" i="14"/>
  <c r="D104" i="14"/>
  <c r="E104" i="14"/>
  <c r="F104" i="14"/>
  <c r="G104" i="14"/>
  <c r="H104" i="14"/>
  <c r="D103" i="14"/>
  <c r="E103" i="14"/>
  <c r="F103" i="14"/>
  <c r="G103" i="14"/>
  <c r="H103" i="14"/>
  <c r="D102" i="14"/>
  <c r="E102" i="14"/>
  <c r="F102" i="14"/>
  <c r="G102" i="14"/>
  <c r="H102" i="14"/>
  <c r="D93" i="14"/>
  <c r="D94" i="14"/>
  <c r="D95" i="14"/>
  <c r="D96" i="14"/>
  <c r="D97" i="14"/>
  <c r="C98" i="14"/>
  <c r="B98" i="14"/>
  <c r="H96" i="14"/>
  <c r="G96" i="14"/>
  <c r="D79" i="14"/>
  <c r="D80" i="14"/>
  <c r="D81" i="14"/>
  <c r="D85" i="14"/>
  <c r="D86" i="14"/>
  <c r="D87" i="14"/>
  <c r="J85" i="14"/>
  <c r="D82" i="14"/>
  <c r="D83" i="14"/>
  <c r="D84" i="14"/>
  <c r="D88" i="14"/>
  <c r="D89" i="14"/>
  <c r="D90" i="14"/>
  <c r="J88" i="14"/>
  <c r="J95" i="14"/>
  <c r="H95" i="14"/>
  <c r="G95" i="14"/>
  <c r="C91" i="14"/>
  <c r="B91" i="14"/>
  <c r="H89" i="14"/>
  <c r="G89" i="14"/>
  <c r="K88" i="14"/>
  <c r="H88" i="14"/>
  <c r="G88" i="14"/>
  <c r="K85" i="14"/>
  <c r="H85" i="14"/>
  <c r="G85" i="14"/>
  <c r="H84" i="14"/>
  <c r="G84" i="14"/>
  <c r="B73" i="14"/>
  <c r="B72" i="14"/>
  <c r="B70" i="14"/>
  <c r="B69" i="14"/>
  <c r="B62" i="14"/>
  <c r="B61" i="14"/>
  <c r="V20" i="14"/>
  <c r="V26" i="14"/>
  <c r="V27" i="14"/>
  <c r="V28" i="14"/>
  <c r="V36" i="14"/>
  <c r="AC41" i="14"/>
  <c r="V21" i="14"/>
  <c r="V29" i="14"/>
  <c r="V30" i="14"/>
  <c r="V31" i="14"/>
  <c r="V34" i="14"/>
  <c r="AC42" i="14"/>
  <c r="V23" i="14"/>
  <c r="V25" i="14"/>
  <c r="V33" i="14"/>
  <c r="V35" i="14"/>
  <c r="Z43" i="14"/>
  <c r="Z44" i="14"/>
  <c r="AA43" i="14"/>
  <c r="C7" i="14"/>
  <c r="AD42" i="14"/>
  <c r="AD41" i="14"/>
  <c r="G41" i="14"/>
  <c r="P40" i="14"/>
  <c r="O40" i="14"/>
  <c r="N40" i="14"/>
  <c r="P39" i="14"/>
  <c r="O39" i="14"/>
  <c r="N39" i="14"/>
  <c r="AC36" i="14"/>
  <c r="V38" i="14"/>
  <c r="AC37" i="14"/>
  <c r="AC38" i="14"/>
  <c r="AC34" i="14"/>
  <c r="AC33" i="14"/>
  <c r="AC25" i="14"/>
  <c r="AD25" i="14"/>
  <c r="AD33" i="14"/>
  <c r="AD34" i="14"/>
  <c r="AD38" i="14"/>
  <c r="X38" i="14"/>
  <c r="Y38" i="14"/>
  <c r="W38" i="14"/>
  <c r="U38" i="14"/>
  <c r="T38" i="14"/>
  <c r="P38" i="14"/>
  <c r="O38" i="14"/>
  <c r="N38" i="14"/>
  <c r="AC24" i="14"/>
  <c r="AC32" i="14"/>
  <c r="AF32" i="14"/>
  <c r="AF37" i="14"/>
  <c r="X36" i="14"/>
  <c r="Y36" i="14"/>
  <c r="X26" i="14"/>
  <c r="Y26" i="14"/>
  <c r="X27" i="14"/>
  <c r="Y27" i="14"/>
  <c r="X28" i="14"/>
  <c r="Y28" i="14"/>
  <c r="X20" i="14"/>
  <c r="Y20" i="14"/>
  <c r="AA22" i="14"/>
  <c r="AA30" i="14"/>
  <c r="AA37" i="14"/>
  <c r="X37" i="14"/>
  <c r="V37" i="14"/>
  <c r="Y37" i="14"/>
  <c r="W37" i="14"/>
  <c r="U37" i="14"/>
  <c r="T37" i="14"/>
  <c r="P37" i="14"/>
  <c r="O37" i="14"/>
  <c r="N37" i="14"/>
  <c r="AC23" i="14"/>
  <c r="AC31" i="14"/>
  <c r="AF31" i="14"/>
  <c r="AF36" i="14"/>
  <c r="U36" i="14"/>
  <c r="T36" i="14"/>
  <c r="P36" i="14"/>
  <c r="O36" i="14"/>
  <c r="N36" i="14"/>
  <c r="AQ20" i="14"/>
  <c r="AQ22" i="14"/>
  <c r="AQ25" i="14"/>
  <c r="AQ27" i="14"/>
  <c r="X21" i="14"/>
  <c r="AR20" i="14"/>
  <c r="X29" i="14"/>
  <c r="X30" i="14"/>
  <c r="X31" i="14"/>
  <c r="AR22" i="14"/>
  <c r="X34" i="14"/>
  <c r="AR24" i="14"/>
  <c r="AR27" i="14"/>
  <c r="X23" i="14"/>
  <c r="X25" i="14"/>
  <c r="AS20" i="14"/>
  <c r="X33" i="14"/>
  <c r="AS22" i="14"/>
  <c r="X35" i="14"/>
  <c r="AS25" i="14"/>
  <c r="AS27" i="14"/>
  <c r="AP27" i="14"/>
  <c r="AQ35" i="14"/>
  <c r="AC22" i="14"/>
  <c r="AC30" i="14"/>
  <c r="AF30" i="14"/>
  <c r="AF35" i="14"/>
  <c r="Y33" i="14"/>
  <c r="Y23" i="14"/>
  <c r="Y25" i="14"/>
  <c r="AA24" i="14"/>
  <c r="AA32" i="14"/>
  <c r="Y35" i="14"/>
  <c r="AA35" i="14"/>
  <c r="U35" i="14"/>
  <c r="T35" i="14"/>
  <c r="P35" i="14"/>
  <c r="O35" i="14"/>
  <c r="N35" i="14"/>
  <c r="AQ34" i="14"/>
  <c r="Y34" i="14"/>
  <c r="Y29" i="14"/>
  <c r="Y30" i="14"/>
  <c r="Y31" i="14"/>
  <c r="Y21" i="14"/>
  <c r="AA23" i="14"/>
  <c r="AA31" i="14"/>
  <c r="AA34" i="14"/>
  <c r="W34" i="14"/>
  <c r="U34" i="14"/>
  <c r="T34" i="14"/>
  <c r="P34" i="14"/>
  <c r="O34" i="14"/>
  <c r="N34" i="14"/>
  <c r="U33" i="14"/>
  <c r="T33" i="14"/>
  <c r="P33" i="14"/>
  <c r="O33" i="14"/>
  <c r="N33" i="14"/>
  <c r="AS32" i="14"/>
  <c r="AR32" i="14"/>
  <c r="AQ32" i="14"/>
  <c r="X32" i="14"/>
  <c r="V32" i="14"/>
  <c r="Y32" i="14"/>
  <c r="U32" i="14"/>
  <c r="T32" i="14"/>
  <c r="P32" i="14"/>
  <c r="O32" i="14"/>
  <c r="N32" i="14"/>
  <c r="AT29" i="14"/>
  <c r="AS31" i="14"/>
  <c r="AR31" i="14"/>
  <c r="AQ31" i="14"/>
  <c r="U31" i="14"/>
  <c r="T31" i="14"/>
  <c r="P31" i="14"/>
  <c r="O31" i="14"/>
  <c r="N31" i="14"/>
  <c r="U30" i="14"/>
  <c r="T30" i="14"/>
  <c r="P30" i="14"/>
  <c r="O30" i="14"/>
  <c r="N30" i="14"/>
  <c r="U29" i="14"/>
  <c r="T29" i="14"/>
  <c r="N29" i="14"/>
  <c r="K29" i="14"/>
  <c r="U28" i="14"/>
  <c r="T28" i="14"/>
  <c r="P28" i="14"/>
  <c r="O28" i="14"/>
  <c r="N28" i="14"/>
  <c r="AM20" i="14"/>
  <c r="AM22" i="14"/>
  <c r="AM25" i="14"/>
  <c r="AM27" i="14"/>
  <c r="X22" i="14"/>
  <c r="AL20" i="14"/>
  <c r="AL22" i="14"/>
  <c r="AL24" i="14"/>
  <c r="AL27" i="14"/>
  <c r="AK20" i="14"/>
  <c r="AK22" i="14"/>
  <c r="AK25" i="14"/>
  <c r="AK27" i="14"/>
  <c r="AJ20" i="14"/>
  <c r="AJ22" i="14"/>
  <c r="AJ24" i="14"/>
  <c r="AJ25" i="14"/>
  <c r="AJ27" i="14"/>
  <c r="U27" i="14"/>
  <c r="T27" i="14"/>
  <c r="P27" i="14"/>
  <c r="O27" i="14"/>
  <c r="N27" i="14"/>
  <c r="U26" i="14"/>
  <c r="T26" i="14"/>
  <c r="P26" i="14"/>
  <c r="O26" i="14"/>
  <c r="N26" i="14"/>
  <c r="AP25" i="14"/>
  <c r="U25" i="14"/>
  <c r="T25" i="14"/>
  <c r="P25" i="14"/>
  <c r="O25" i="14"/>
  <c r="N25" i="14"/>
  <c r="AP24" i="14"/>
  <c r="AI24" i="14"/>
  <c r="N24" i="14"/>
  <c r="K24" i="14"/>
  <c r="AI23" i="14"/>
  <c r="U23" i="14"/>
  <c r="T23" i="14"/>
  <c r="P23" i="14"/>
  <c r="O23" i="14"/>
  <c r="N23" i="14"/>
  <c r="AP22" i="14"/>
  <c r="AI22" i="14"/>
  <c r="V22" i="14"/>
  <c r="Y22" i="14"/>
  <c r="U22" i="14"/>
  <c r="T22" i="14"/>
  <c r="N22" i="14"/>
  <c r="K22" i="14"/>
  <c r="AI21" i="14"/>
  <c r="U21" i="14"/>
  <c r="T21" i="14"/>
  <c r="P21" i="14"/>
  <c r="O21" i="14"/>
  <c r="N21" i="14"/>
  <c r="AP20" i="14"/>
  <c r="AI20" i="14"/>
  <c r="U20" i="14"/>
  <c r="T20" i="14"/>
  <c r="O20" i="14"/>
  <c r="N20" i="14"/>
  <c r="AC20" i="10"/>
  <c r="AC21" i="10"/>
  <c r="AC23" i="10"/>
  <c r="AC25" i="10"/>
  <c r="AJ25" i="10"/>
  <c r="C10" i="10"/>
  <c r="I21" i="10"/>
  <c r="F37" i="10"/>
  <c r="F36" i="10"/>
  <c r="F35" i="10"/>
  <c r="F32" i="10"/>
  <c r="F21" i="10"/>
  <c r="F20" i="10"/>
  <c r="C11" i="10"/>
  <c r="AL13" i="1"/>
  <c r="F13" i="1"/>
  <c r="AM13" i="1"/>
  <c r="AO4" i="1"/>
  <c r="AN13" i="1"/>
  <c r="AO13" i="1"/>
  <c r="AL11" i="1"/>
  <c r="F11" i="1"/>
  <c r="AM11" i="1"/>
  <c r="AN11" i="1"/>
  <c r="AO11" i="1"/>
  <c r="F21" i="1"/>
  <c r="AI21" i="1"/>
  <c r="AJ21" i="1"/>
  <c r="AL21" i="1"/>
  <c r="AM21" i="1"/>
  <c r="AN21" i="1"/>
  <c r="AO21" i="1"/>
  <c r="C8" i="1"/>
  <c r="D8" i="1"/>
  <c r="E8" i="1"/>
  <c r="F8" i="1"/>
  <c r="AL8" i="1"/>
  <c r="AM8" i="1"/>
  <c r="AN8" i="1"/>
  <c r="C52" i="1"/>
  <c r="F52" i="1"/>
  <c r="AI52" i="1"/>
  <c r="AJ52" i="1"/>
  <c r="C51" i="1"/>
  <c r="D51" i="1"/>
  <c r="E51" i="1"/>
  <c r="F51" i="1"/>
  <c r="AI51" i="1"/>
  <c r="AJ51" i="1"/>
  <c r="C50" i="1"/>
  <c r="D50" i="1"/>
  <c r="F50" i="1"/>
  <c r="AI50" i="1"/>
  <c r="AJ50" i="1"/>
  <c r="F49" i="1"/>
  <c r="AI49" i="1"/>
  <c r="AJ49" i="1"/>
  <c r="F48" i="1"/>
  <c r="AI48" i="1"/>
  <c r="AJ48" i="1"/>
  <c r="F47" i="1"/>
  <c r="AI47" i="1"/>
  <c r="AJ47" i="1"/>
  <c r="C46" i="1"/>
  <c r="D46" i="1"/>
  <c r="E46" i="1"/>
  <c r="F46" i="1"/>
  <c r="AI46" i="1"/>
  <c r="AJ46" i="1"/>
  <c r="F45" i="1"/>
  <c r="AI45" i="1"/>
  <c r="AJ45" i="1"/>
  <c r="F44" i="1"/>
  <c r="AI44" i="1"/>
  <c r="AJ44" i="1"/>
  <c r="F43" i="1"/>
  <c r="AI43" i="1"/>
  <c r="AJ43" i="1"/>
  <c r="F42" i="1"/>
  <c r="AI42" i="1"/>
  <c r="AJ42" i="1"/>
  <c r="F41" i="1"/>
  <c r="AI41" i="1"/>
  <c r="AJ41" i="1"/>
  <c r="F40" i="1"/>
  <c r="AI40" i="1"/>
  <c r="AJ40" i="1"/>
  <c r="F39" i="1"/>
  <c r="AI39" i="1"/>
  <c r="AJ39" i="1"/>
  <c r="F38" i="1"/>
  <c r="AI38" i="1"/>
  <c r="AJ38" i="1"/>
  <c r="C37" i="1"/>
  <c r="D37" i="1"/>
  <c r="E37" i="1"/>
  <c r="F37" i="1"/>
  <c r="AI37" i="1"/>
  <c r="AJ37" i="1"/>
  <c r="F36" i="1"/>
  <c r="AI36" i="1"/>
  <c r="AJ36" i="1"/>
  <c r="C35" i="1"/>
  <c r="D35" i="1"/>
  <c r="E35" i="1"/>
  <c r="F35" i="1"/>
  <c r="AI35" i="1"/>
  <c r="AJ35" i="1"/>
  <c r="C34" i="1"/>
  <c r="D34" i="1"/>
  <c r="E34" i="1"/>
  <c r="F34" i="1"/>
  <c r="AI34" i="1"/>
  <c r="AJ34" i="1"/>
  <c r="C33" i="1"/>
  <c r="D33" i="1"/>
  <c r="E33" i="1"/>
  <c r="F33" i="1"/>
  <c r="AI33" i="1"/>
  <c r="AJ33" i="1"/>
  <c r="C32" i="1"/>
  <c r="D32" i="1"/>
  <c r="E32" i="1"/>
  <c r="F32" i="1"/>
  <c r="AI32" i="1"/>
  <c r="AJ32" i="1"/>
  <c r="C31" i="1"/>
  <c r="D31" i="1"/>
  <c r="E31" i="1"/>
  <c r="F31" i="1"/>
  <c r="AI31" i="1"/>
  <c r="AJ31" i="1"/>
  <c r="C30" i="1"/>
  <c r="D30" i="1"/>
  <c r="E30" i="1"/>
  <c r="F30" i="1"/>
  <c r="AI30" i="1"/>
  <c r="AJ30" i="1"/>
  <c r="F29" i="1"/>
  <c r="AI29" i="1"/>
  <c r="AJ29" i="1"/>
  <c r="F28" i="1"/>
  <c r="AI28" i="1"/>
  <c r="AJ28" i="1"/>
  <c r="F27" i="1"/>
  <c r="AI27" i="1"/>
  <c r="AJ27" i="1"/>
  <c r="F26" i="1"/>
  <c r="AI26" i="1"/>
  <c r="AJ26" i="1"/>
  <c r="F25" i="1"/>
  <c r="AI25" i="1"/>
  <c r="AJ25" i="1"/>
  <c r="F24" i="1"/>
  <c r="AI24" i="1"/>
  <c r="AJ24" i="1"/>
  <c r="F23" i="1"/>
  <c r="AI23" i="1"/>
  <c r="AJ23" i="1"/>
  <c r="F22" i="1"/>
  <c r="AI22" i="1"/>
  <c r="AJ22" i="1"/>
  <c r="F20" i="1"/>
  <c r="AI20" i="1"/>
  <c r="AJ20" i="1"/>
  <c r="F19" i="1"/>
  <c r="AI19" i="1"/>
  <c r="AJ19" i="1"/>
  <c r="F18" i="1"/>
  <c r="AI18" i="1"/>
  <c r="AJ18" i="1"/>
  <c r="F17" i="1"/>
  <c r="AI17" i="1"/>
  <c r="AJ17" i="1"/>
  <c r="F16" i="1"/>
  <c r="AI16" i="1"/>
  <c r="AJ16" i="1"/>
  <c r="F15" i="1"/>
  <c r="AI15" i="1"/>
  <c r="AJ15" i="1"/>
  <c r="F14" i="1"/>
  <c r="AI14" i="1"/>
  <c r="AJ14" i="1"/>
  <c r="AI13" i="1"/>
  <c r="AJ13" i="1"/>
  <c r="F12" i="1"/>
  <c r="AI12" i="1"/>
  <c r="AJ12" i="1"/>
  <c r="AI11" i="1"/>
  <c r="AJ11" i="1"/>
  <c r="F10" i="1"/>
  <c r="AI10" i="1"/>
  <c r="AJ10" i="1"/>
  <c r="F9" i="1"/>
  <c r="AI9" i="1"/>
  <c r="AJ9" i="1"/>
  <c r="AI8" i="1"/>
  <c r="AJ8" i="1"/>
  <c r="AO8" i="1"/>
  <c r="AY17" i="2"/>
  <c r="L17" i="2"/>
  <c r="AZ17" i="2"/>
  <c r="BB15" i="2"/>
  <c r="BA17" i="2"/>
  <c r="BB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17" i="2"/>
  <c r="L26" i="2"/>
  <c r="AW26" i="2"/>
  <c r="B26" i="2"/>
  <c r="M26" i="2"/>
  <c r="M17" i="2"/>
  <c r="L18" i="2"/>
  <c r="M18" i="2"/>
  <c r="L19" i="2"/>
  <c r="B19" i="2"/>
  <c r="M19" i="2"/>
  <c r="L20" i="2"/>
  <c r="M20" i="2"/>
  <c r="L21" i="2"/>
  <c r="M21" i="2"/>
  <c r="L22" i="2"/>
  <c r="M22" i="2"/>
  <c r="L24" i="2"/>
  <c r="M24" i="2"/>
  <c r="L25" i="2"/>
  <c r="M25" i="2"/>
  <c r="L32" i="2"/>
  <c r="M32" i="2"/>
  <c r="L33" i="2"/>
  <c r="M33" i="2"/>
  <c r="L34" i="2"/>
  <c r="M34" i="2"/>
  <c r="L36" i="2"/>
  <c r="M36" i="2"/>
  <c r="L37" i="2"/>
  <c r="M37" i="2"/>
  <c r="L38" i="2"/>
  <c r="M38" i="2"/>
  <c r="L39" i="2"/>
  <c r="M39" i="2"/>
  <c r="L40" i="2"/>
  <c r="M40" i="2"/>
  <c r="L41" i="2"/>
  <c r="M41" i="2"/>
  <c r="L42" i="2"/>
  <c r="M42" i="2"/>
  <c r="L43" i="2"/>
  <c r="M43" i="2"/>
  <c r="L47" i="2"/>
  <c r="M47" i="2"/>
  <c r="L48" i="2"/>
  <c r="M48" i="2"/>
  <c r="L49" i="2"/>
  <c r="M49" i="2"/>
  <c r="L50" i="2"/>
  <c r="M50" i="2"/>
  <c r="L51" i="2"/>
  <c r="M51" i="2"/>
  <c r="L52" i="2"/>
  <c r="M52" i="2"/>
  <c r="L53" i="2"/>
  <c r="M53" i="2"/>
  <c r="L54" i="2"/>
  <c r="M54" i="2"/>
  <c r="L56" i="2"/>
  <c r="M56" i="2"/>
  <c r="L57" i="2"/>
  <c r="M57" i="2"/>
  <c r="L58" i="2"/>
  <c r="M58" i="2"/>
  <c r="B6" i="2"/>
  <c r="C27" i="2"/>
  <c r="B7" i="2"/>
  <c r="D27" i="2"/>
  <c r="E27" i="2"/>
  <c r="L27" i="2"/>
  <c r="AW27" i="2"/>
  <c r="F28" i="2"/>
  <c r="L28" i="2"/>
  <c r="AW28" i="2"/>
  <c r="F29" i="2"/>
  <c r="L29" i="2"/>
  <c r="AW29" i="2"/>
  <c r="C30" i="2"/>
  <c r="D30" i="2"/>
  <c r="E30" i="2"/>
  <c r="L30" i="2"/>
  <c r="AW30" i="2"/>
  <c r="L31" i="2"/>
  <c r="AW31" i="2"/>
  <c r="AW32" i="2"/>
  <c r="AW33" i="2"/>
  <c r="AW34" i="2"/>
  <c r="L35" i="2"/>
  <c r="AW35" i="2"/>
  <c r="AW36" i="2"/>
  <c r="AW37" i="2"/>
  <c r="AW38" i="2"/>
  <c r="AW39" i="2"/>
  <c r="AW40" i="2"/>
  <c r="AW41" i="2"/>
  <c r="AW42" i="2"/>
  <c r="AW43" i="2"/>
  <c r="L44" i="2"/>
  <c r="AW44" i="2"/>
  <c r="L45" i="2"/>
  <c r="AW45" i="2"/>
  <c r="L46" i="2"/>
  <c r="AW46" i="2"/>
  <c r="AW47" i="2"/>
  <c r="AW48" i="2"/>
  <c r="AW49" i="2"/>
  <c r="AW50" i="2"/>
  <c r="AW51" i="2"/>
  <c r="AW52" i="2"/>
  <c r="AW53" i="2"/>
  <c r="AW54" i="2"/>
  <c r="L55" i="2"/>
  <c r="AW55" i="2"/>
  <c r="AW56" i="2"/>
  <c r="AW57" i="2"/>
  <c r="AW58" i="2"/>
  <c r="D59" i="2"/>
  <c r="L59" i="2"/>
  <c r="AW59" i="2"/>
  <c r="L60" i="2"/>
  <c r="AW60" i="2"/>
  <c r="L61" i="2"/>
  <c r="AW61" i="2"/>
  <c r="AW18" i="2"/>
  <c r="AW19" i="2"/>
  <c r="AW20" i="2"/>
  <c r="AW21" i="2"/>
  <c r="AW22" i="2"/>
  <c r="L23" i="2"/>
  <c r="AW23" i="2"/>
  <c r="AW24" i="2"/>
  <c r="AW25" i="2"/>
  <c r="AW17" i="2"/>
  <c r="B72" i="10"/>
  <c r="L40" i="10"/>
  <c r="L39" i="10"/>
  <c r="L38" i="10"/>
  <c r="L37" i="10"/>
  <c r="L36" i="10"/>
  <c r="L35" i="10"/>
  <c r="L34" i="10"/>
  <c r="L33" i="10"/>
  <c r="L32" i="10"/>
  <c r="L31" i="10"/>
  <c r="L30" i="10"/>
  <c r="L28" i="10"/>
  <c r="L27" i="10"/>
  <c r="L26" i="10"/>
  <c r="L25" i="10"/>
  <c r="L23" i="10"/>
  <c r="L21" i="10"/>
  <c r="L20" i="10"/>
  <c r="B73" i="10"/>
  <c r="B70" i="10"/>
  <c r="B69" i="10"/>
  <c r="B62" i="10"/>
  <c r="B61" i="10"/>
  <c r="I40" i="10"/>
  <c r="I37" i="10"/>
  <c r="AC29" i="10"/>
  <c r="AC30" i="10"/>
  <c r="AC31" i="10"/>
  <c r="AC34" i="10"/>
  <c r="AJ42" i="10"/>
  <c r="AC26" i="10"/>
  <c r="AC27" i="10"/>
  <c r="AC28" i="10"/>
  <c r="AC36" i="10"/>
  <c r="AJ41" i="10"/>
  <c r="AC33" i="10"/>
  <c r="AC35" i="10"/>
  <c r="AJ43" i="10"/>
  <c r="AJ44" i="10"/>
  <c r="AK42" i="10"/>
  <c r="AK43" i="10"/>
  <c r="AK41" i="10"/>
  <c r="G32" i="10"/>
  <c r="I32" i="10"/>
  <c r="J32" i="10"/>
  <c r="AE21" i="10"/>
  <c r="AY20" i="10"/>
  <c r="G28" i="10"/>
  <c r="I28" i="10"/>
  <c r="J28" i="10"/>
  <c r="AE29" i="10"/>
  <c r="G30" i="10"/>
  <c r="I30" i="10"/>
  <c r="J30" i="10"/>
  <c r="AE30" i="10"/>
  <c r="G31" i="10"/>
  <c r="I31" i="10"/>
  <c r="J31" i="10"/>
  <c r="AE31" i="10"/>
  <c r="AY22" i="10"/>
  <c r="G33" i="10"/>
  <c r="J33" i="10"/>
  <c r="AE34" i="10"/>
  <c r="AY24" i="10"/>
  <c r="AY27" i="10"/>
  <c r="AY32" i="10"/>
  <c r="G36" i="10"/>
  <c r="I36" i="10"/>
  <c r="J36" i="10"/>
  <c r="AE23" i="10"/>
  <c r="G37" i="10"/>
  <c r="J37" i="10"/>
  <c r="AE25" i="10"/>
  <c r="AZ20" i="10"/>
  <c r="G38" i="10"/>
  <c r="J38" i="10"/>
  <c r="AE33" i="10"/>
  <c r="AZ22" i="10"/>
  <c r="F39" i="10"/>
  <c r="G39" i="10"/>
  <c r="I39" i="10"/>
  <c r="J39" i="10"/>
  <c r="AE35" i="10"/>
  <c r="AZ25" i="10"/>
  <c r="AZ27" i="10"/>
  <c r="AZ32" i="10"/>
  <c r="G21" i="10"/>
  <c r="J21" i="10"/>
  <c r="AE20" i="10"/>
  <c r="AX20" i="10"/>
  <c r="G23" i="10"/>
  <c r="I23" i="10"/>
  <c r="J23" i="10"/>
  <c r="AE26" i="10"/>
  <c r="G25" i="10"/>
  <c r="I25" i="10"/>
  <c r="J25" i="10"/>
  <c r="AE27" i="10"/>
  <c r="G26" i="10"/>
  <c r="I26" i="10"/>
  <c r="J26" i="10"/>
  <c r="AE28" i="10"/>
  <c r="AX22" i="10"/>
  <c r="AX27" i="10"/>
  <c r="AX32" i="10"/>
  <c r="AW27" i="10"/>
  <c r="AX35" i="10"/>
  <c r="AX34" i="10"/>
  <c r="BA29" i="10"/>
  <c r="AY31" i="10"/>
  <c r="AZ31" i="10"/>
  <c r="AX31" i="10"/>
  <c r="I35" i="10"/>
  <c r="B15" i="10"/>
  <c r="AF33" i="10"/>
  <c r="AF23" i="10"/>
  <c r="AF25" i="10"/>
  <c r="AC38" i="10"/>
  <c r="AH24" i="10"/>
  <c r="AH32" i="10"/>
  <c r="AF35" i="10"/>
  <c r="AH35" i="10"/>
  <c r="AJ32" i="10"/>
  <c r="J40" i="10"/>
  <c r="AE38" i="10"/>
  <c r="AT20" i="10"/>
  <c r="AT25" i="10"/>
  <c r="AT22" i="10"/>
  <c r="AT27" i="10"/>
  <c r="G27" i="10"/>
  <c r="J27" i="10"/>
  <c r="AE37" i="10"/>
  <c r="AR25" i="10"/>
  <c r="AR20" i="10"/>
  <c r="AR22" i="10"/>
  <c r="AR27" i="10"/>
  <c r="G35" i="10"/>
  <c r="J35" i="10"/>
  <c r="AE22" i="10"/>
  <c r="AS20" i="10"/>
  <c r="G34" i="10"/>
  <c r="J34" i="10"/>
  <c r="AE32" i="10"/>
  <c r="AS22" i="10"/>
  <c r="AS24" i="10"/>
  <c r="AS27" i="10"/>
  <c r="AJ23" i="10"/>
  <c r="AJ31" i="10"/>
  <c r="AM31" i="10"/>
  <c r="AJ34" i="10"/>
  <c r="AM36" i="10"/>
  <c r="AJ36" i="10"/>
  <c r="AJ24" i="10"/>
  <c r="AM32" i="10"/>
  <c r="AJ37" i="10"/>
  <c r="AM37" i="10"/>
  <c r="AJ22" i="10"/>
  <c r="AJ30" i="10"/>
  <c r="AM30" i="10"/>
  <c r="AM35" i="10"/>
  <c r="AJ38" i="10"/>
  <c r="AJ33" i="10"/>
  <c r="AK25" i="10"/>
  <c r="AK33" i="10"/>
  <c r="AK34" i="10"/>
  <c r="AK38" i="10"/>
  <c r="AW22" i="10"/>
  <c r="AW24" i="10"/>
  <c r="AW25" i="10"/>
  <c r="AW20" i="10"/>
  <c r="AQ20" i="10"/>
  <c r="AQ22" i="10"/>
  <c r="AQ24" i="10"/>
  <c r="AQ25" i="10"/>
  <c r="AQ27" i="10"/>
  <c r="B3" i="2"/>
  <c r="B1" i="2"/>
  <c r="Q17" i="2"/>
  <c r="R17" i="2"/>
  <c r="S17" i="2"/>
  <c r="AA17" i="2"/>
  <c r="Q18" i="2"/>
  <c r="R18" i="2"/>
  <c r="S18" i="2"/>
  <c r="AA18" i="2"/>
  <c r="Q19" i="2"/>
  <c r="R19" i="2"/>
  <c r="S19" i="2"/>
  <c r="AA19" i="2"/>
  <c r="Q20" i="2"/>
  <c r="R20" i="2"/>
  <c r="S20" i="2"/>
  <c r="AA20" i="2"/>
  <c r="Q21" i="2"/>
  <c r="R21" i="2"/>
  <c r="S21" i="2"/>
  <c r="T21" i="2"/>
  <c r="U21" i="2"/>
  <c r="AA21" i="2"/>
  <c r="Q22" i="2"/>
  <c r="R22" i="2"/>
  <c r="S22" i="2"/>
  <c r="AA22" i="2"/>
  <c r="Q23" i="2"/>
  <c r="R23" i="2"/>
  <c r="AA23" i="2"/>
  <c r="Q24" i="2"/>
  <c r="R24" i="2"/>
  <c r="AA24" i="2"/>
  <c r="Q25" i="2"/>
  <c r="R25" i="2"/>
  <c r="S25" i="2"/>
  <c r="AA25" i="2"/>
  <c r="N26" i="2"/>
  <c r="O26" i="2"/>
  <c r="Q26" i="2"/>
  <c r="R26" i="2"/>
  <c r="S26" i="2"/>
  <c r="T26" i="2"/>
  <c r="U26" i="2"/>
  <c r="AA26" i="2"/>
  <c r="Q32" i="2"/>
  <c r="R32" i="2"/>
  <c r="S32" i="2"/>
  <c r="AA32" i="2"/>
  <c r="Q33" i="2"/>
  <c r="R33" i="2"/>
  <c r="S33" i="2"/>
  <c r="AA33" i="2"/>
  <c r="Q34" i="2"/>
  <c r="R34" i="2"/>
  <c r="S34" i="2"/>
  <c r="AA34" i="2"/>
  <c r="Q35" i="2"/>
  <c r="R35" i="2"/>
  <c r="S35" i="2"/>
  <c r="AA35" i="2"/>
  <c r="Q36" i="2"/>
  <c r="R36" i="2"/>
  <c r="S36" i="2"/>
  <c r="AA36" i="2"/>
  <c r="Q37" i="2"/>
  <c r="R37" i="2"/>
  <c r="S37" i="2"/>
  <c r="AA37" i="2"/>
  <c r="Q38" i="2"/>
  <c r="R38" i="2"/>
  <c r="S38" i="2"/>
  <c r="AA38" i="2"/>
  <c r="Q39" i="2"/>
  <c r="R39" i="2"/>
  <c r="S39" i="2"/>
  <c r="AA39" i="2"/>
  <c r="Q40" i="2"/>
  <c r="R40" i="2"/>
  <c r="S40" i="2"/>
  <c r="AA40" i="2"/>
  <c r="N41" i="2"/>
  <c r="O41" i="2"/>
  <c r="Q41" i="2"/>
  <c r="R41" i="2"/>
  <c r="S41" i="2"/>
  <c r="T41" i="2"/>
  <c r="AA41" i="2"/>
  <c r="N42" i="2"/>
  <c r="O42" i="2"/>
  <c r="Q42" i="2"/>
  <c r="R42" i="2"/>
  <c r="S42" i="2"/>
  <c r="T42" i="2"/>
  <c r="AA42" i="2"/>
  <c r="N43" i="2"/>
  <c r="O43" i="2"/>
  <c r="Q43" i="2"/>
  <c r="R43" i="2"/>
  <c r="S43" i="2"/>
  <c r="AA43" i="2"/>
  <c r="Q47" i="2"/>
  <c r="R47" i="2"/>
  <c r="S47" i="2"/>
  <c r="AA47" i="2"/>
  <c r="Q48" i="2"/>
  <c r="R48" i="2"/>
  <c r="S48" i="2"/>
  <c r="AA48" i="2"/>
  <c r="Q49" i="2"/>
  <c r="R49" i="2"/>
  <c r="AA49" i="2"/>
  <c r="Q50" i="2"/>
  <c r="R50" i="2"/>
  <c r="S50" i="2"/>
  <c r="AA50" i="2"/>
  <c r="Q51" i="2"/>
  <c r="R51" i="2"/>
  <c r="S51" i="2"/>
  <c r="AA51" i="2"/>
  <c r="Q52" i="2"/>
  <c r="R52" i="2"/>
  <c r="S52" i="2"/>
  <c r="AA52" i="2"/>
  <c r="Q53" i="2"/>
  <c r="R53" i="2"/>
  <c r="S53" i="2"/>
  <c r="T53" i="2"/>
  <c r="U53" i="2"/>
  <c r="V53" i="2"/>
  <c r="AA53" i="2"/>
  <c r="Q54" i="2"/>
  <c r="R54" i="2"/>
  <c r="S54" i="2"/>
  <c r="T54" i="2"/>
  <c r="U54" i="2"/>
  <c r="V54" i="2"/>
  <c r="AA54" i="2"/>
  <c r="N55" i="2"/>
  <c r="O55" i="2"/>
  <c r="Q55" i="2"/>
  <c r="R55" i="2"/>
  <c r="S55" i="2"/>
  <c r="T55" i="2"/>
  <c r="U55" i="2"/>
  <c r="V55" i="2"/>
  <c r="AA55" i="2"/>
  <c r="N56" i="2"/>
  <c r="O56" i="2"/>
  <c r="Q56" i="2"/>
  <c r="R56" i="2"/>
  <c r="S56" i="2"/>
  <c r="T56" i="2"/>
  <c r="U56" i="2"/>
  <c r="V56" i="2"/>
  <c r="AA56" i="2"/>
  <c r="N57" i="2"/>
  <c r="O57" i="2"/>
  <c r="Q57" i="2"/>
  <c r="R57" i="2"/>
  <c r="S57" i="2"/>
  <c r="AA57" i="2"/>
  <c r="N28" i="2"/>
  <c r="O28" i="2"/>
  <c r="Q28" i="2"/>
  <c r="R28" i="2"/>
  <c r="S28" i="2"/>
  <c r="T28" i="2"/>
  <c r="U28" i="2"/>
  <c r="AA28" i="2"/>
  <c r="N29" i="2"/>
  <c r="O29" i="2"/>
  <c r="Q29" i="2"/>
  <c r="R29" i="2"/>
  <c r="S29" i="2"/>
  <c r="T29" i="2"/>
  <c r="AA29" i="2"/>
  <c r="N59" i="2"/>
  <c r="O59" i="2"/>
  <c r="Z59" i="2"/>
  <c r="AA59" i="2"/>
  <c r="AA9" i="2"/>
  <c r="AA30" i="2"/>
  <c r="AA27" i="2"/>
  <c r="N27" i="2"/>
  <c r="O27" i="2"/>
  <c r="Z27" i="2"/>
  <c r="AF27" i="2"/>
  <c r="W56" i="2"/>
  <c r="X56" i="2"/>
  <c r="W55" i="2"/>
  <c r="X55" i="2"/>
  <c r="N31" i="2"/>
  <c r="O31" i="2"/>
  <c r="Z31" i="2"/>
  <c r="AA31" i="2"/>
  <c r="N44" i="2"/>
  <c r="O44" i="2"/>
  <c r="Z44" i="2"/>
  <c r="AA44" i="2"/>
  <c r="N45" i="2"/>
  <c r="O45" i="2"/>
  <c r="Z45" i="2"/>
  <c r="AA45" i="2"/>
  <c r="N46" i="2"/>
  <c r="O46" i="2"/>
  <c r="Z46" i="2"/>
  <c r="AA46" i="2"/>
  <c r="N58" i="2"/>
  <c r="O58" i="2"/>
  <c r="Z58" i="2"/>
  <c r="AA58" i="2"/>
  <c r="N60" i="2"/>
  <c r="O60" i="2"/>
  <c r="Z60" i="2"/>
  <c r="AA60" i="2"/>
  <c r="N61" i="2"/>
  <c r="O61" i="2"/>
  <c r="Z61" i="2"/>
  <c r="AA61" i="2"/>
  <c r="B3" i="3"/>
  <c r="B1" i="3"/>
  <c r="J8" i="3"/>
  <c r="J9" i="3"/>
  <c r="J10" i="3"/>
  <c r="J11" i="3"/>
  <c r="J12" i="3"/>
  <c r="J13" i="3"/>
  <c r="J14" i="3"/>
  <c r="Z14" i="2"/>
  <c r="AA14" i="2"/>
  <c r="J33" i="3"/>
  <c r="J34" i="3"/>
  <c r="J35" i="3"/>
  <c r="J36" i="3"/>
  <c r="J37" i="3"/>
  <c r="J38" i="3"/>
  <c r="Z15" i="2"/>
  <c r="AA15" i="2"/>
  <c r="J56" i="3"/>
  <c r="J57" i="3"/>
  <c r="J58" i="3"/>
  <c r="Z16" i="2"/>
  <c r="AA16" i="2"/>
  <c r="J40" i="3"/>
  <c r="Z12" i="2"/>
  <c r="Z11" i="2"/>
  <c r="Z13" i="2"/>
  <c r="K40" i="10"/>
  <c r="K39" i="10"/>
  <c r="K38" i="10"/>
  <c r="K37" i="10"/>
  <c r="K36" i="10"/>
  <c r="K35" i="10"/>
  <c r="K34" i="10"/>
  <c r="K33" i="10"/>
  <c r="K32" i="10"/>
  <c r="K31" i="10"/>
  <c r="K30" i="10"/>
  <c r="K29" i="10"/>
  <c r="K28" i="10"/>
  <c r="K27" i="10"/>
  <c r="K26" i="10"/>
  <c r="K25" i="10"/>
  <c r="K24" i="10"/>
  <c r="K23" i="10"/>
  <c r="K22" i="10"/>
  <c r="K21" i="10"/>
  <c r="K20" i="10"/>
  <c r="C106" i="10"/>
  <c r="G17" i="11"/>
  <c r="I17" i="11"/>
  <c r="I25" i="11"/>
  <c r="G25" i="11"/>
  <c r="B75" i="11"/>
  <c r="B73" i="11"/>
  <c r="G63" i="11"/>
  <c r="G65" i="11"/>
  <c r="M48" i="11"/>
  <c r="G49" i="11"/>
  <c r="F65" i="11"/>
  <c r="F49" i="11"/>
  <c r="E65" i="11"/>
  <c r="E49" i="11"/>
  <c r="N65" i="11"/>
  <c r="M65" i="11"/>
  <c r="N64" i="11"/>
  <c r="M64" i="11"/>
  <c r="N63" i="11"/>
  <c r="M63" i="11"/>
  <c r="N62" i="11"/>
  <c r="M62" i="11"/>
  <c r="N61" i="11"/>
  <c r="M61" i="11"/>
  <c r="N60" i="11"/>
  <c r="M60" i="11"/>
  <c r="F59" i="11"/>
  <c r="E59" i="11"/>
  <c r="N59" i="11"/>
  <c r="M59" i="11"/>
  <c r="N58" i="11"/>
  <c r="M58" i="11"/>
  <c r="N57" i="11"/>
  <c r="M57" i="11"/>
  <c r="G56" i="11"/>
  <c r="N56" i="11"/>
  <c r="M56" i="11"/>
  <c r="N55" i="11"/>
  <c r="M55" i="11"/>
  <c r="N54" i="11"/>
  <c r="M54" i="11"/>
  <c r="N53" i="11"/>
  <c r="M53" i="11"/>
  <c r="E52" i="11"/>
  <c r="N52" i="11"/>
  <c r="M52" i="11"/>
  <c r="N51" i="11"/>
  <c r="M51" i="11"/>
  <c r="G50" i="11"/>
  <c r="F50" i="11"/>
  <c r="E50" i="11"/>
  <c r="N50" i="11"/>
  <c r="K10" i="11"/>
  <c r="L50" i="11"/>
  <c r="K50" i="11"/>
  <c r="M49" i="11"/>
  <c r="E45" i="11"/>
  <c r="M28" i="11"/>
  <c r="E29" i="11"/>
  <c r="F45" i="11"/>
  <c r="F29" i="11"/>
  <c r="G45" i="11"/>
  <c r="G29" i="11"/>
  <c r="H45" i="11"/>
  <c r="H29" i="11"/>
  <c r="I45" i="11"/>
  <c r="I29" i="11"/>
  <c r="J43" i="11"/>
  <c r="J45" i="11"/>
  <c r="J29" i="11"/>
  <c r="N45" i="11"/>
  <c r="M45" i="11"/>
  <c r="N44" i="11"/>
  <c r="M44" i="11"/>
  <c r="N43" i="11"/>
  <c r="M43" i="11"/>
  <c r="I42" i="11"/>
  <c r="J42" i="11"/>
  <c r="N42" i="11"/>
  <c r="M42" i="11"/>
  <c r="G41" i="11"/>
  <c r="N41" i="11"/>
  <c r="M41" i="11"/>
  <c r="N40" i="11"/>
  <c r="M40" i="11"/>
  <c r="E39" i="11"/>
  <c r="F39" i="11"/>
  <c r="H39" i="11"/>
  <c r="N39" i="11"/>
  <c r="M39" i="11"/>
  <c r="N38" i="11"/>
  <c r="M38" i="11"/>
  <c r="G37" i="11"/>
  <c r="N37" i="11"/>
  <c r="M37" i="11"/>
  <c r="J36" i="11"/>
  <c r="N36" i="11"/>
  <c r="M36" i="11"/>
  <c r="N35" i="11"/>
  <c r="M35" i="11"/>
  <c r="N34" i="11"/>
  <c r="M34" i="11"/>
  <c r="N33" i="11"/>
  <c r="M33" i="11"/>
  <c r="E32" i="11"/>
  <c r="F32" i="11"/>
  <c r="H32" i="11"/>
  <c r="N32" i="11"/>
  <c r="M32" i="11"/>
  <c r="L32" i="11"/>
  <c r="N31" i="11"/>
  <c r="M31" i="11"/>
  <c r="E30" i="11"/>
  <c r="F30" i="11"/>
  <c r="G30" i="11"/>
  <c r="H30" i="11"/>
  <c r="I30" i="11"/>
  <c r="J30" i="11"/>
  <c r="N30" i="11"/>
  <c r="K30" i="11"/>
  <c r="M29" i="11"/>
  <c r="E25" i="11"/>
  <c r="M8" i="11"/>
  <c r="E9" i="11"/>
  <c r="F25" i="11"/>
  <c r="F9" i="11"/>
  <c r="G9" i="11"/>
  <c r="H25" i="11"/>
  <c r="H9" i="11"/>
  <c r="I9" i="11"/>
  <c r="J23" i="11"/>
  <c r="J25" i="11"/>
  <c r="J9" i="11"/>
  <c r="K25" i="11"/>
  <c r="K9" i="11"/>
  <c r="N25" i="11"/>
  <c r="M25" i="11"/>
  <c r="G24" i="11"/>
  <c r="I24" i="11"/>
  <c r="N24" i="11"/>
  <c r="M24" i="11"/>
  <c r="G23" i="11"/>
  <c r="I23" i="11"/>
  <c r="N23" i="11"/>
  <c r="M23" i="11"/>
  <c r="G22" i="11"/>
  <c r="I22" i="11"/>
  <c r="N22" i="11"/>
  <c r="M22" i="11"/>
  <c r="G21" i="11"/>
  <c r="I21" i="11"/>
  <c r="N21" i="11"/>
  <c r="M21" i="11"/>
  <c r="G20" i="11"/>
  <c r="I20" i="11"/>
  <c r="N20" i="11"/>
  <c r="M20" i="11"/>
  <c r="E19" i="11"/>
  <c r="F19" i="11"/>
  <c r="G19" i="11"/>
  <c r="H19" i="11"/>
  <c r="I19" i="11"/>
  <c r="N19" i="11"/>
  <c r="M19" i="11"/>
  <c r="G18" i="11"/>
  <c r="I18" i="11"/>
  <c r="N18" i="11"/>
  <c r="M18" i="11"/>
  <c r="N17" i="11"/>
  <c r="M17" i="11"/>
  <c r="J16" i="11"/>
  <c r="N16" i="11"/>
  <c r="M16" i="11"/>
  <c r="N15" i="11"/>
  <c r="M15" i="11"/>
  <c r="N14" i="11"/>
  <c r="M14" i="11"/>
  <c r="N13" i="11"/>
  <c r="M13" i="11"/>
  <c r="E12" i="11"/>
  <c r="F12" i="11"/>
  <c r="H12" i="11"/>
  <c r="N12" i="11"/>
  <c r="M12" i="11"/>
  <c r="N11" i="11"/>
  <c r="M11" i="11"/>
  <c r="E10" i="11"/>
  <c r="F10" i="11"/>
  <c r="G10" i="11"/>
  <c r="H10" i="11"/>
  <c r="I10" i="11"/>
  <c r="J10" i="11"/>
  <c r="N10" i="11"/>
  <c r="L10" i="11"/>
  <c r="T109" i="10"/>
  <c r="T108" i="10"/>
  <c r="T107" i="10"/>
  <c r="T106" i="10"/>
  <c r="A106" i="10"/>
  <c r="T101" i="10"/>
  <c r="T102" i="10"/>
  <c r="T103" i="10"/>
  <c r="T104" i="10"/>
  <c r="T105" i="10"/>
  <c r="D104" i="10"/>
  <c r="E104" i="10"/>
  <c r="F104" i="10"/>
  <c r="G104" i="10"/>
  <c r="H104" i="10"/>
  <c r="D103" i="10"/>
  <c r="E103" i="10"/>
  <c r="F103" i="10"/>
  <c r="G103" i="10"/>
  <c r="H103" i="10"/>
  <c r="D102" i="10"/>
  <c r="E102" i="10"/>
  <c r="F102" i="10"/>
  <c r="G102" i="10"/>
  <c r="H102" i="10"/>
  <c r="T100" i="10"/>
  <c r="T99" i="10"/>
  <c r="T98" i="10"/>
  <c r="D93" i="10"/>
  <c r="D94" i="10"/>
  <c r="D95" i="10"/>
  <c r="D96" i="10"/>
  <c r="D97" i="10"/>
  <c r="C98" i="10"/>
  <c r="B98" i="10"/>
  <c r="T94" i="10"/>
  <c r="T97" i="10"/>
  <c r="T96" i="10"/>
  <c r="H96" i="10"/>
  <c r="G96" i="10"/>
  <c r="T95" i="10"/>
  <c r="D79" i="10"/>
  <c r="D80" i="10"/>
  <c r="D81" i="10"/>
  <c r="D85" i="10"/>
  <c r="D86" i="10"/>
  <c r="D87" i="10"/>
  <c r="J85" i="10"/>
  <c r="D82" i="10"/>
  <c r="D83" i="10"/>
  <c r="D84" i="10"/>
  <c r="D88" i="10"/>
  <c r="D89" i="10"/>
  <c r="D90" i="10"/>
  <c r="J88" i="10"/>
  <c r="J95" i="10"/>
  <c r="H95" i="10"/>
  <c r="G95" i="10"/>
  <c r="C91" i="10"/>
  <c r="B91" i="10"/>
  <c r="H89" i="10"/>
  <c r="G89" i="10"/>
  <c r="K88" i="10"/>
  <c r="H88" i="10"/>
  <c r="G88" i="10"/>
  <c r="K85" i="10"/>
  <c r="H85" i="10"/>
  <c r="G85" i="10"/>
  <c r="H84" i="10"/>
  <c r="G84" i="10"/>
  <c r="P81" i="10"/>
  <c r="P80" i="10"/>
  <c r="P79" i="10"/>
  <c r="R39" i="10"/>
  <c r="AE42" i="10"/>
  <c r="R34" i="10"/>
  <c r="AE43" i="10"/>
  <c r="R27" i="10"/>
  <c r="AE44" i="10"/>
  <c r="AE45" i="10"/>
  <c r="R35" i="10"/>
  <c r="AE46" i="10"/>
  <c r="AE47" i="10"/>
  <c r="Q35" i="10"/>
  <c r="AD46" i="10"/>
  <c r="AB46" i="10"/>
  <c r="AA46" i="10"/>
  <c r="Q40" i="10"/>
  <c r="AD45" i="10"/>
  <c r="AB45" i="10"/>
  <c r="AA45" i="10"/>
  <c r="Q27" i="10"/>
  <c r="AD44" i="10"/>
  <c r="AB44" i="10"/>
  <c r="AA44" i="10"/>
  <c r="Q20" i="10"/>
  <c r="R20" i="10"/>
  <c r="S20" i="10"/>
  <c r="Q21" i="10"/>
  <c r="R21" i="10"/>
  <c r="S21" i="10"/>
  <c r="Q22" i="10"/>
  <c r="R22" i="10"/>
  <c r="S22" i="10"/>
  <c r="Q23" i="10"/>
  <c r="R23" i="10"/>
  <c r="S23" i="10"/>
  <c r="Q24" i="10"/>
  <c r="R24" i="10"/>
  <c r="S24" i="10"/>
  <c r="Q25" i="10"/>
  <c r="R25" i="10"/>
  <c r="S25" i="10"/>
  <c r="Q26" i="10"/>
  <c r="R26" i="10"/>
  <c r="S26" i="10"/>
  <c r="S27" i="10"/>
  <c r="Q28" i="10"/>
  <c r="R28" i="10"/>
  <c r="S28" i="10"/>
  <c r="Q29" i="10"/>
  <c r="R29" i="10"/>
  <c r="S29" i="10"/>
  <c r="Q30" i="10"/>
  <c r="R30" i="10"/>
  <c r="S30" i="10"/>
  <c r="Q31" i="10"/>
  <c r="R31" i="10"/>
  <c r="S31" i="10"/>
  <c r="Q32" i="10"/>
  <c r="R32" i="10"/>
  <c r="S32" i="10"/>
  <c r="Q33" i="10"/>
  <c r="R33" i="10"/>
  <c r="S33" i="10"/>
  <c r="Q34" i="10"/>
  <c r="S34" i="10"/>
  <c r="S35" i="10"/>
  <c r="Q36" i="10"/>
  <c r="R36" i="10"/>
  <c r="S36" i="10"/>
  <c r="Q37" i="10"/>
  <c r="R37" i="10"/>
  <c r="S37" i="10"/>
  <c r="Q38" i="10"/>
  <c r="R38" i="10"/>
  <c r="S38" i="10"/>
  <c r="Q39" i="10"/>
  <c r="S39" i="10"/>
  <c r="S40" i="10"/>
  <c r="S41" i="10"/>
  <c r="U20" i="10"/>
  <c r="U21" i="10"/>
  <c r="U22" i="10"/>
  <c r="U23" i="10"/>
  <c r="U24" i="10"/>
  <c r="U25" i="10"/>
  <c r="U26" i="10"/>
  <c r="U27" i="10"/>
  <c r="U28" i="10"/>
  <c r="U29" i="10"/>
  <c r="U30" i="10"/>
  <c r="U31" i="10"/>
  <c r="U32" i="10"/>
  <c r="U33" i="10"/>
  <c r="U34" i="10"/>
  <c r="U35" i="10"/>
  <c r="U36" i="10"/>
  <c r="U37" i="10"/>
  <c r="U38" i="10"/>
  <c r="U39" i="10"/>
  <c r="U40" i="10"/>
  <c r="T42" i="10"/>
  <c r="J41" i="10"/>
  <c r="M20" i="10"/>
  <c r="M21" i="10"/>
  <c r="M23" i="10"/>
  <c r="M25" i="10"/>
  <c r="M26" i="10"/>
  <c r="M27" i="10"/>
  <c r="M28" i="10"/>
  <c r="M30" i="10"/>
  <c r="M31" i="10"/>
  <c r="M32" i="10"/>
  <c r="M33" i="10"/>
  <c r="M34" i="10"/>
  <c r="M35" i="10"/>
  <c r="M36" i="10"/>
  <c r="M37" i="10"/>
  <c r="M38" i="10"/>
  <c r="M39" i="10"/>
  <c r="M40" i="10"/>
  <c r="AD43" i="10"/>
  <c r="AB43" i="10"/>
  <c r="AA43" i="10"/>
  <c r="W20" i="10"/>
  <c r="W21" i="10"/>
  <c r="W22" i="10"/>
  <c r="W23" i="10"/>
  <c r="W24" i="10"/>
  <c r="W25" i="10"/>
  <c r="W26" i="10"/>
  <c r="W27" i="10"/>
  <c r="W28" i="10"/>
  <c r="W29" i="10"/>
  <c r="W30" i="10"/>
  <c r="W31" i="10"/>
  <c r="W32" i="10"/>
  <c r="W33" i="10"/>
  <c r="W34" i="10"/>
  <c r="W35" i="10"/>
  <c r="W36" i="10"/>
  <c r="W37" i="10"/>
  <c r="W38" i="10"/>
  <c r="W39" i="10"/>
  <c r="W40" i="10"/>
  <c r="W42" i="10"/>
  <c r="D41" i="10"/>
  <c r="AD42" i="10"/>
  <c r="AB42" i="10"/>
  <c r="AA42" i="10"/>
  <c r="X20" i="10"/>
  <c r="X21" i="10"/>
  <c r="X23" i="10"/>
  <c r="X25" i="10"/>
  <c r="X26" i="10"/>
  <c r="X27" i="10"/>
  <c r="X28" i="10"/>
  <c r="X30" i="10"/>
  <c r="X31" i="10"/>
  <c r="X32" i="10"/>
  <c r="X33" i="10"/>
  <c r="X34" i="10"/>
  <c r="X35" i="10"/>
  <c r="X36" i="10"/>
  <c r="X37" i="10"/>
  <c r="X38" i="10"/>
  <c r="X39" i="10"/>
  <c r="X40" i="10"/>
  <c r="X43" i="10"/>
  <c r="AE41" i="10"/>
  <c r="AF38" i="10"/>
  <c r="AD38" i="10"/>
  <c r="AB38" i="10"/>
  <c r="AA38" i="10"/>
  <c r="E37" i="10"/>
  <c r="AF36" i="10"/>
  <c r="AF26" i="10"/>
  <c r="AF27" i="10"/>
  <c r="AF28" i="10"/>
  <c r="AF20" i="10"/>
  <c r="AH22" i="10"/>
  <c r="AH30" i="10"/>
  <c r="AH37" i="10"/>
  <c r="AC37" i="10"/>
  <c r="AF37" i="10"/>
  <c r="AD37" i="10"/>
  <c r="AB37" i="10"/>
  <c r="AA37" i="10"/>
  <c r="AD36" i="10"/>
  <c r="AB36" i="10"/>
  <c r="AA36" i="10"/>
  <c r="AF34" i="10"/>
  <c r="AF29" i="10"/>
  <c r="AF30" i="10"/>
  <c r="AF31" i="10"/>
  <c r="AF21" i="10"/>
  <c r="AH23" i="10"/>
  <c r="AH31" i="10"/>
  <c r="AH34" i="10"/>
  <c r="AD34" i="10"/>
  <c r="AB34" i="10"/>
  <c r="AA34" i="10"/>
  <c r="AB33" i="10"/>
  <c r="AA33" i="10"/>
  <c r="AC32" i="10"/>
  <c r="AF32" i="10"/>
  <c r="AB32" i="10"/>
  <c r="AA32" i="10"/>
  <c r="AB31" i="10"/>
  <c r="AA31" i="10"/>
  <c r="AB30" i="10"/>
  <c r="AA30" i="10"/>
  <c r="AB29" i="10"/>
  <c r="AA29" i="10"/>
  <c r="X29" i="10"/>
  <c r="H29" i="10"/>
  <c r="AB28" i="10"/>
  <c r="AA28" i="10"/>
  <c r="AB27" i="10"/>
  <c r="AA27" i="10"/>
  <c r="AB26" i="10"/>
  <c r="AA26" i="10"/>
  <c r="AP25" i="10"/>
  <c r="AB25" i="10"/>
  <c r="AA25" i="10"/>
  <c r="AP24" i="10"/>
  <c r="AB35" i="10"/>
  <c r="AA35" i="10"/>
  <c r="X24" i="10"/>
  <c r="H24" i="10"/>
  <c r="AP23" i="10"/>
  <c r="AB23" i="10"/>
  <c r="AA23" i="10"/>
  <c r="AP22" i="10"/>
  <c r="AC22" i="10"/>
  <c r="AF22" i="10"/>
  <c r="AB22" i="10"/>
  <c r="AA22" i="10"/>
  <c r="X22" i="10"/>
  <c r="H22" i="10"/>
  <c r="AP21" i="10"/>
  <c r="AB21" i="10"/>
  <c r="AA21" i="10"/>
  <c r="AP20" i="10"/>
  <c r="AB20" i="10"/>
  <c r="AA20" i="10"/>
  <c r="F33" i="2"/>
  <c r="G33" i="2"/>
  <c r="B23" i="2"/>
  <c r="AJ9" i="3"/>
  <c r="AJ10" i="3"/>
  <c r="AJ11" i="3"/>
  <c r="AJ12" i="3"/>
  <c r="AJ13" i="3"/>
  <c r="AJ14" i="3"/>
  <c r="AJ15" i="3"/>
  <c r="AJ16" i="3"/>
  <c r="AJ17" i="3"/>
  <c r="AJ18" i="3"/>
  <c r="AJ19" i="3"/>
  <c r="AJ20" i="3"/>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8"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G10" i="3"/>
  <c r="AH10" i="3"/>
  <c r="AG11" i="3"/>
  <c r="AH11" i="3"/>
  <c r="AG12" i="3"/>
  <c r="AH12" i="3"/>
  <c r="AG13" i="3"/>
  <c r="AH13" i="3"/>
  <c r="AG14" i="3"/>
  <c r="AH14" i="3"/>
  <c r="AG15" i="3"/>
  <c r="AH15" i="3"/>
  <c r="AG16" i="3"/>
  <c r="AH16" i="3"/>
  <c r="AG17" i="3"/>
  <c r="AH17" i="3"/>
  <c r="AG18" i="3"/>
  <c r="AH18" i="3"/>
  <c r="AG19" i="3"/>
  <c r="AH19" i="3"/>
  <c r="AG20" i="3"/>
  <c r="AH20" i="3"/>
  <c r="AG21" i="3"/>
  <c r="AH21" i="3"/>
  <c r="AG22" i="3"/>
  <c r="AH22" i="3"/>
  <c r="AG23" i="3"/>
  <c r="AH23" i="3"/>
  <c r="AG24" i="3"/>
  <c r="AH24" i="3"/>
  <c r="AG25" i="3"/>
  <c r="AH25" i="3"/>
  <c r="AG26" i="3"/>
  <c r="AH26" i="3"/>
  <c r="AG27" i="3"/>
  <c r="AH27" i="3"/>
  <c r="AG28" i="3"/>
  <c r="AH28" i="3"/>
  <c r="AG29" i="3"/>
  <c r="AH29" i="3"/>
  <c r="AG30" i="3"/>
  <c r="AH30" i="3"/>
  <c r="AG31" i="3"/>
  <c r="AH31" i="3"/>
  <c r="AG32" i="3"/>
  <c r="AH32" i="3"/>
  <c r="AG33" i="3"/>
  <c r="AH33" i="3"/>
  <c r="AG34" i="3"/>
  <c r="AH34" i="3"/>
  <c r="AG35" i="3"/>
  <c r="AH35" i="3"/>
  <c r="AG36" i="3"/>
  <c r="AH36" i="3"/>
  <c r="AG37" i="3"/>
  <c r="AH37" i="3"/>
  <c r="AG38" i="3"/>
  <c r="AH38" i="3"/>
  <c r="AG39" i="3"/>
  <c r="AH39" i="3"/>
  <c r="AG40" i="3"/>
  <c r="AH40" i="3"/>
  <c r="AG41" i="3"/>
  <c r="AH41" i="3"/>
  <c r="AG42" i="3"/>
  <c r="AH42" i="3"/>
  <c r="AG43" i="3"/>
  <c r="AH43" i="3"/>
  <c r="AG44" i="3"/>
  <c r="AH44" i="3"/>
  <c r="AG45" i="3"/>
  <c r="AH45" i="3"/>
  <c r="AG46" i="3"/>
  <c r="AH46" i="3"/>
  <c r="AG47" i="3"/>
  <c r="AH47" i="3"/>
  <c r="AG48" i="3"/>
  <c r="AH48" i="3"/>
  <c r="AG49" i="3"/>
  <c r="AH49" i="3"/>
  <c r="AG50" i="3"/>
  <c r="AH50" i="3"/>
  <c r="AG51" i="3"/>
  <c r="AH51" i="3"/>
  <c r="AG52" i="3"/>
  <c r="AH52" i="3"/>
  <c r="AG53" i="3"/>
  <c r="AH53" i="3"/>
  <c r="AG54" i="3"/>
  <c r="AH54" i="3"/>
  <c r="AG55" i="3"/>
  <c r="AH55" i="3"/>
  <c r="AG56" i="3"/>
  <c r="AH56" i="3"/>
  <c r="AG57" i="3"/>
  <c r="AH57" i="3"/>
  <c r="AG58" i="3"/>
  <c r="AH58" i="3"/>
  <c r="AG59" i="3"/>
  <c r="AH59" i="3"/>
  <c r="AG60" i="3"/>
  <c r="AH60" i="3"/>
  <c r="AG61" i="3"/>
  <c r="AH61" i="3"/>
  <c r="AG62" i="3"/>
  <c r="AH62" i="3"/>
  <c r="AG63" i="3"/>
  <c r="AH63" i="3"/>
  <c r="AG64" i="3"/>
  <c r="AH64" i="3"/>
  <c r="AG65" i="3"/>
  <c r="AH65" i="3"/>
  <c r="AG66" i="3"/>
  <c r="AH66" i="3"/>
  <c r="AG67" i="3"/>
  <c r="AH67" i="3"/>
  <c r="AG68" i="3"/>
  <c r="AH68" i="3"/>
  <c r="AG69" i="3"/>
  <c r="AH69" i="3"/>
  <c r="AG70" i="3"/>
  <c r="AH70" i="3"/>
  <c r="AG71" i="3"/>
  <c r="AH71" i="3"/>
  <c r="AG72" i="3"/>
  <c r="AH72" i="3"/>
  <c r="AG73" i="3"/>
  <c r="AH73" i="3"/>
  <c r="AH9" i="3"/>
  <c r="AH8" i="3"/>
  <c r="AG9" i="3"/>
  <c r="AG8" i="3"/>
  <c r="AB21" i="3"/>
  <c r="AC21" i="3"/>
  <c r="AB22" i="3"/>
  <c r="AC22" i="3"/>
  <c r="AB23" i="3"/>
  <c r="AC23" i="3"/>
  <c r="AB31" i="3"/>
  <c r="AC31" i="3"/>
  <c r="AM31" i="3"/>
  <c r="AB17" i="2"/>
  <c r="AN31" i="3"/>
  <c r="AM23" i="3"/>
  <c r="AN21" i="3"/>
  <c r="AN22" i="3"/>
  <c r="AM21" i="3"/>
  <c r="AN23" i="3"/>
  <c r="AM22" i="3"/>
  <c r="AE31" i="3"/>
  <c r="AK31" i="3"/>
  <c r="AO31" i="3"/>
  <c r="AL31" i="3"/>
  <c r="AE23" i="3"/>
  <c r="AK23" i="3"/>
  <c r="AO23" i="3"/>
  <c r="AL23" i="3"/>
  <c r="AE22" i="3"/>
  <c r="AK22" i="3"/>
  <c r="AO22" i="3"/>
  <c r="AL22" i="3"/>
  <c r="AE21" i="3"/>
  <c r="AK21" i="3"/>
  <c r="AL21" i="3"/>
  <c r="AO21" i="3"/>
  <c r="AF31" i="3"/>
  <c r="AF23" i="3"/>
  <c r="AF21" i="3"/>
  <c r="AF22" i="3"/>
  <c r="AE30" i="1"/>
  <c r="AE24" i="1"/>
  <c r="AD18" i="1"/>
  <c r="AE19" i="1"/>
  <c r="AL41" i="2"/>
  <c r="AL42" i="2"/>
  <c r="AL43" i="2"/>
  <c r="AL29" i="2"/>
  <c r="AL28" i="2"/>
  <c r="AL25" i="2"/>
  <c r="AP31" i="3"/>
  <c r="AQ31" i="3"/>
  <c r="AR31" i="3"/>
  <c r="AP22" i="3"/>
  <c r="AP23" i="3"/>
  <c r="AP21" i="3"/>
  <c r="AK18" i="2"/>
  <c r="AL18" i="2"/>
  <c r="AK19" i="2"/>
  <c r="AL19" i="2"/>
  <c r="AK20" i="2"/>
  <c r="AL20" i="2"/>
  <c r="AK21" i="2"/>
  <c r="AL21" i="2"/>
  <c r="AK22" i="2"/>
  <c r="AL22" i="2"/>
  <c r="AK23" i="2"/>
  <c r="AL23" i="2"/>
  <c r="AK24" i="2"/>
  <c r="AL24" i="2"/>
  <c r="AK25" i="2"/>
  <c r="AK26" i="2"/>
  <c r="AL26" i="2"/>
  <c r="AK27" i="2"/>
  <c r="AL27" i="2"/>
  <c r="AK28" i="2"/>
  <c r="AK29" i="2"/>
  <c r="AK30" i="2"/>
  <c r="AL30" i="2"/>
  <c r="AK31" i="2"/>
  <c r="AL31" i="2"/>
  <c r="AK32" i="2"/>
  <c r="AL32" i="2"/>
  <c r="AK33" i="2"/>
  <c r="AL33" i="2"/>
  <c r="AK34" i="2"/>
  <c r="AL34" i="2"/>
  <c r="AK35" i="2"/>
  <c r="AL35" i="2"/>
  <c r="AK36" i="2"/>
  <c r="AL36" i="2"/>
  <c r="AK37" i="2"/>
  <c r="AL37" i="2"/>
  <c r="AK38" i="2"/>
  <c r="AL38" i="2"/>
  <c r="AK39" i="2"/>
  <c r="AL39" i="2"/>
  <c r="AK40" i="2"/>
  <c r="AL40" i="2"/>
  <c r="AK41" i="2"/>
  <c r="AK42" i="2"/>
  <c r="AK43" i="2"/>
  <c r="AK44" i="2"/>
  <c r="AL44" i="2"/>
  <c r="AK45" i="2"/>
  <c r="AL45" i="2"/>
  <c r="AK46" i="2"/>
  <c r="AL46" i="2"/>
  <c r="AK47" i="2"/>
  <c r="AL47" i="2"/>
  <c r="AK48" i="2"/>
  <c r="AL48" i="2"/>
  <c r="AK49" i="2"/>
  <c r="AL49" i="2"/>
  <c r="AK50" i="2"/>
  <c r="AL50" i="2"/>
  <c r="AK51" i="2"/>
  <c r="AL51" i="2"/>
  <c r="AK52" i="2"/>
  <c r="AL52" i="2"/>
  <c r="AK53" i="2"/>
  <c r="AL53" i="2"/>
  <c r="AK54" i="2"/>
  <c r="AL54" i="2"/>
  <c r="AK55" i="2"/>
  <c r="AL55" i="2"/>
  <c r="AK56" i="2"/>
  <c r="AL56" i="2"/>
  <c r="AK57" i="2"/>
  <c r="AL57" i="2"/>
  <c r="AK58" i="2"/>
  <c r="AL58" i="2"/>
  <c r="AK59" i="2"/>
  <c r="AL59" i="2"/>
  <c r="AK60" i="2"/>
  <c r="AL60" i="2"/>
  <c r="AK61" i="2"/>
  <c r="AL61" i="2"/>
  <c r="AL17" i="2"/>
  <c r="AK17" i="2"/>
  <c r="AQ23" i="3"/>
  <c r="AR23" i="3"/>
  <c r="AQ22" i="3"/>
  <c r="AR22" i="3"/>
  <c r="AQ21" i="3"/>
  <c r="AR21" i="3"/>
  <c r="AD35" i="1"/>
  <c r="AD26" i="1"/>
  <c r="AD37" i="1"/>
  <c r="AD15" i="1"/>
  <c r="AD12" i="1"/>
  <c r="AD17" i="1"/>
  <c r="AD33" i="1"/>
  <c r="AD32" i="1"/>
  <c r="G37" i="1"/>
  <c r="B3" i="1"/>
  <c r="R37" i="1"/>
  <c r="N35" i="1"/>
  <c r="G33" i="1"/>
  <c r="R33" i="1"/>
  <c r="Q33" i="1"/>
  <c r="S33" i="1"/>
  <c r="P33" i="1"/>
  <c r="I33" i="1"/>
  <c r="U33" i="1"/>
  <c r="V33" i="1"/>
  <c r="W33" i="1"/>
  <c r="AA33" i="1"/>
  <c r="G32" i="1"/>
  <c r="R32" i="1"/>
  <c r="I32" i="1"/>
  <c r="U32" i="1"/>
  <c r="V32" i="1"/>
  <c r="W32" i="1"/>
  <c r="AA32" i="1"/>
  <c r="P30" i="1"/>
  <c r="I30" i="1"/>
  <c r="U30" i="1"/>
  <c r="V30" i="1"/>
  <c r="W30" i="1"/>
  <c r="U26" i="1"/>
  <c r="V26" i="1"/>
  <c r="I26" i="1"/>
  <c r="W26" i="1"/>
  <c r="AA26" i="1"/>
  <c r="U24" i="1"/>
  <c r="V24" i="1"/>
  <c r="I24" i="1"/>
  <c r="W24" i="1"/>
  <c r="AB24" i="1"/>
  <c r="U19" i="1"/>
  <c r="V19" i="1"/>
  <c r="I19" i="1"/>
  <c r="W19" i="1"/>
  <c r="AB19" i="1"/>
  <c r="U18" i="1"/>
  <c r="V18" i="1"/>
  <c r="I18" i="1"/>
  <c r="W18" i="1"/>
  <c r="Y18" i="1"/>
  <c r="AC18" i="1"/>
  <c r="AA18" i="1"/>
  <c r="U17" i="1"/>
  <c r="V17" i="1"/>
  <c r="I17" i="1"/>
  <c r="W17" i="1"/>
  <c r="AA17" i="1"/>
  <c r="U15" i="1"/>
  <c r="V15" i="1"/>
  <c r="I15" i="1"/>
  <c r="W15" i="1"/>
  <c r="AA15" i="1"/>
  <c r="U12" i="1"/>
  <c r="V12" i="1"/>
  <c r="I12" i="1"/>
  <c r="W12" i="1"/>
  <c r="AA12" i="1"/>
  <c r="B44" i="1"/>
  <c r="AA81" i="2"/>
  <c r="G8" i="1"/>
  <c r="R8" i="1"/>
  <c r="P8" i="1"/>
  <c r="G27" i="9"/>
  <c r="G34" i="1"/>
  <c r="R34" i="1"/>
  <c r="G46" i="1"/>
  <c r="R46" i="1"/>
  <c r="P46" i="1"/>
  <c r="G9" i="1"/>
  <c r="R9" i="1"/>
  <c r="Q9" i="1"/>
  <c r="S9" i="1"/>
  <c r="G10" i="1"/>
  <c r="R10" i="1"/>
  <c r="Q10" i="1"/>
  <c r="S10" i="1"/>
  <c r="G11" i="1"/>
  <c r="R11" i="1"/>
  <c r="Q11" i="1"/>
  <c r="S11" i="1"/>
  <c r="G12" i="1"/>
  <c r="R12" i="1"/>
  <c r="Q12" i="1"/>
  <c r="S12" i="1"/>
  <c r="G13" i="1"/>
  <c r="R13" i="1"/>
  <c r="Q13" i="1"/>
  <c r="S13" i="1"/>
  <c r="G14" i="1"/>
  <c r="R14" i="1"/>
  <c r="Q14" i="1"/>
  <c r="S14" i="1"/>
  <c r="G15" i="1"/>
  <c r="R15" i="1"/>
  <c r="Q15" i="1"/>
  <c r="S15" i="1"/>
  <c r="G16" i="1"/>
  <c r="R16" i="1"/>
  <c r="Q16" i="1"/>
  <c r="S16" i="1"/>
  <c r="G17" i="1"/>
  <c r="R17" i="1"/>
  <c r="Q17" i="1"/>
  <c r="S17" i="1"/>
  <c r="G18" i="1"/>
  <c r="R18" i="1"/>
  <c r="Q18" i="1"/>
  <c r="S18" i="1"/>
  <c r="G19" i="1"/>
  <c r="R19" i="1"/>
  <c r="Q19" i="1"/>
  <c r="S19" i="1"/>
  <c r="G20" i="1"/>
  <c r="R20" i="1"/>
  <c r="Q20" i="1"/>
  <c r="S20" i="1"/>
  <c r="G21" i="1"/>
  <c r="R21" i="1"/>
  <c r="Q21" i="1"/>
  <c r="S21" i="1"/>
  <c r="G22" i="1"/>
  <c r="R22" i="1"/>
  <c r="Q22" i="1"/>
  <c r="S22" i="1"/>
  <c r="G23" i="1"/>
  <c r="R23" i="1"/>
  <c r="Q23" i="1"/>
  <c r="S23" i="1"/>
  <c r="G24" i="1"/>
  <c r="R24" i="1"/>
  <c r="Q24" i="1"/>
  <c r="S24" i="1"/>
  <c r="G25" i="1"/>
  <c r="R25" i="1"/>
  <c r="Q25" i="1"/>
  <c r="S25" i="1"/>
  <c r="G26" i="1"/>
  <c r="R26" i="1"/>
  <c r="Q26" i="1"/>
  <c r="S26" i="1"/>
  <c r="G27" i="1"/>
  <c r="R27" i="1"/>
  <c r="Q27" i="1"/>
  <c r="S27" i="1"/>
  <c r="G28" i="1"/>
  <c r="R28" i="1"/>
  <c r="Q28" i="1"/>
  <c r="S28" i="1"/>
  <c r="G29" i="1"/>
  <c r="R29" i="1"/>
  <c r="Q29" i="1"/>
  <c r="S29" i="1"/>
  <c r="G50" i="1"/>
  <c r="G51" i="1"/>
  <c r="P51" i="1"/>
  <c r="W68" i="2"/>
  <c r="W69" i="2"/>
  <c r="AB69" i="2"/>
  <c r="W70" i="2"/>
  <c r="Z70" i="2"/>
  <c r="F60" i="1"/>
  <c r="O60" i="1"/>
  <c r="AC69" i="2"/>
  <c r="AD69" i="2"/>
  <c r="F59" i="1"/>
  <c r="U59" i="1"/>
  <c r="X59" i="1"/>
  <c r="U60" i="1"/>
  <c r="X60" i="1"/>
  <c r="P60" i="1"/>
  <c r="P59" i="1"/>
  <c r="O59" i="1"/>
  <c r="AB68" i="2"/>
  <c r="AC68" i="2"/>
  <c r="AD68" i="2"/>
  <c r="P58" i="1"/>
  <c r="AB67" i="2"/>
  <c r="AC67" i="2"/>
  <c r="AD67" i="2"/>
  <c r="AB52" i="2"/>
  <c r="AC52" i="2"/>
  <c r="AC17" i="2"/>
  <c r="AB18" i="2"/>
  <c r="AC18" i="2"/>
  <c r="AB20" i="2"/>
  <c r="AC20" i="2"/>
  <c r="AB21" i="2"/>
  <c r="AC21" i="2"/>
  <c r="AB22" i="2"/>
  <c r="AC22" i="2"/>
  <c r="AB24" i="2"/>
  <c r="AC24" i="2"/>
  <c r="AB25" i="2"/>
  <c r="AC25" i="2"/>
  <c r="AB26" i="2"/>
  <c r="AC26" i="2"/>
  <c r="AB32" i="2"/>
  <c r="AC32" i="2"/>
  <c r="AB33" i="2"/>
  <c r="AC33" i="2"/>
  <c r="AB34" i="2"/>
  <c r="AC34" i="2"/>
  <c r="AB36" i="2"/>
  <c r="AC36" i="2"/>
  <c r="AB37" i="2"/>
  <c r="AC37" i="2"/>
  <c r="AB38" i="2"/>
  <c r="AC38" i="2"/>
  <c r="AB39" i="2"/>
  <c r="AC39" i="2"/>
  <c r="AB40" i="2"/>
  <c r="AC40" i="2"/>
  <c r="AB41" i="2"/>
  <c r="AC41" i="2"/>
  <c r="AB43" i="2"/>
  <c r="AC43" i="2"/>
  <c r="AB44" i="2"/>
  <c r="AC44" i="2"/>
  <c r="AB45" i="2"/>
  <c r="AC45" i="2"/>
  <c r="AB46" i="2"/>
  <c r="AC46" i="2"/>
  <c r="AB47" i="2"/>
  <c r="AC47" i="2"/>
  <c r="AB48" i="2"/>
  <c r="AC48" i="2"/>
  <c r="AB49" i="2"/>
  <c r="AC49" i="2"/>
  <c r="AB50" i="2"/>
  <c r="AC50" i="2"/>
  <c r="AB51" i="2"/>
  <c r="AC51" i="2"/>
  <c r="AB53" i="2"/>
  <c r="AC53" i="2"/>
  <c r="AB55" i="2"/>
  <c r="AC55" i="2"/>
  <c r="AB58" i="2"/>
  <c r="AC58" i="2"/>
  <c r="Z18" i="2"/>
  <c r="G87" i="9"/>
  <c r="P19" i="2"/>
  <c r="AD47" i="2"/>
  <c r="AH47" i="2"/>
  <c r="AI47" i="2"/>
  <c r="Z48" i="2"/>
  <c r="G117" i="9"/>
  <c r="Z67" i="2"/>
  <c r="M64" i="1"/>
  <c r="M59" i="1"/>
  <c r="F58" i="1"/>
  <c r="O58" i="1"/>
  <c r="U58" i="1"/>
  <c r="O57" i="1"/>
  <c r="M60" i="1"/>
  <c r="M58" i="1"/>
  <c r="M57" i="1"/>
  <c r="X58" i="1"/>
  <c r="U57" i="1"/>
  <c r="V57" i="1"/>
  <c r="J22" i="1"/>
  <c r="Q41" i="1"/>
  <c r="G35" i="9"/>
  <c r="Q42" i="1"/>
  <c r="G36" i="9"/>
  <c r="Q43" i="1"/>
  <c r="G37" i="9"/>
  <c r="Q44" i="1"/>
  <c r="J44" i="1"/>
  <c r="Q45" i="1"/>
  <c r="G39" i="9"/>
  <c r="Q47" i="1"/>
  <c r="J47" i="1"/>
  <c r="Q48" i="1"/>
  <c r="J48" i="1"/>
  <c r="G42" i="9"/>
  <c r="Q49" i="1"/>
  <c r="J49" i="1"/>
  <c r="Q51" i="1"/>
  <c r="J9" i="1"/>
  <c r="J10" i="1"/>
  <c r="J11" i="1"/>
  <c r="J12" i="1"/>
  <c r="J13" i="1"/>
  <c r="J14" i="1"/>
  <c r="J15" i="1"/>
  <c r="J16" i="1"/>
  <c r="J17" i="1"/>
  <c r="J18" i="1"/>
  <c r="J19" i="1"/>
  <c r="J20" i="1"/>
  <c r="J21" i="1"/>
  <c r="J23" i="1"/>
  <c r="J24" i="1"/>
  <c r="J25" i="1"/>
  <c r="J26" i="1"/>
  <c r="J27" i="1"/>
  <c r="J28" i="1"/>
  <c r="J29" i="1"/>
  <c r="B38" i="1"/>
  <c r="B39" i="1"/>
  <c r="Q39" i="1"/>
  <c r="J39" i="1"/>
  <c r="Q40" i="1"/>
  <c r="P22" i="1"/>
  <c r="N22" i="1"/>
  <c r="U34" i="1"/>
  <c r="V34" i="1"/>
  <c r="U31" i="1"/>
  <c r="V31" i="1"/>
  <c r="I31" i="1"/>
  <c r="W31" i="1"/>
  <c r="Y31" i="1"/>
  <c r="AC31" i="1"/>
  <c r="Y24" i="1"/>
  <c r="AC24" i="1"/>
  <c r="U23" i="1"/>
  <c r="V23" i="1"/>
  <c r="I23" i="1"/>
  <c r="W23" i="1"/>
  <c r="Y23" i="1"/>
  <c r="AC23" i="1"/>
  <c r="Y19" i="1"/>
  <c r="AC19" i="1"/>
  <c r="B43" i="1"/>
  <c r="I43" i="1"/>
  <c r="B40" i="1"/>
  <c r="I40" i="1"/>
  <c r="B41" i="1"/>
  <c r="I41" i="1"/>
  <c r="B47" i="1"/>
  <c r="U47" i="1"/>
  <c r="I47" i="1"/>
  <c r="B49" i="1"/>
  <c r="U49" i="1"/>
  <c r="I9" i="1"/>
  <c r="I10" i="1"/>
  <c r="I11" i="1"/>
  <c r="I13" i="1"/>
  <c r="I14" i="1"/>
  <c r="I16" i="1"/>
  <c r="I20" i="1"/>
  <c r="I21" i="1"/>
  <c r="I22" i="1"/>
  <c r="I25" i="1"/>
  <c r="I27" i="1"/>
  <c r="I28" i="1"/>
  <c r="I29" i="1"/>
  <c r="U9" i="1"/>
  <c r="V9" i="1"/>
  <c r="W9" i="1"/>
  <c r="U10" i="1"/>
  <c r="V10" i="1"/>
  <c r="W10" i="1"/>
  <c r="U11" i="1"/>
  <c r="V11" i="1"/>
  <c r="W11" i="1"/>
  <c r="U13" i="1"/>
  <c r="V13" i="1"/>
  <c r="W13" i="1"/>
  <c r="U14" i="1"/>
  <c r="V14" i="1"/>
  <c r="W14" i="1"/>
  <c r="U16" i="1"/>
  <c r="V16" i="1"/>
  <c r="W16" i="1"/>
  <c r="U20" i="1"/>
  <c r="V20" i="1"/>
  <c r="W20" i="1"/>
  <c r="U21" i="1"/>
  <c r="V21" i="1"/>
  <c r="W21" i="1"/>
  <c r="U22" i="1"/>
  <c r="V22" i="1"/>
  <c r="W22" i="1"/>
  <c r="U25" i="1"/>
  <c r="V25" i="1"/>
  <c r="W25" i="1"/>
  <c r="U27" i="1"/>
  <c r="V27" i="1"/>
  <c r="W27" i="1"/>
  <c r="U28" i="1"/>
  <c r="V28" i="1"/>
  <c r="W28" i="1"/>
  <c r="U29" i="1"/>
  <c r="V29" i="1"/>
  <c r="W29" i="1"/>
  <c r="U40" i="1"/>
  <c r="X40" i="1"/>
  <c r="U41" i="1"/>
  <c r="V41" i="1"/>
  <c r="U43" i="1"/>
  <c r="V43" i="1"/>
  <c r="AB8" i="3"/>
  <c r="AC8" i="3"/>
  <c r="AB9" i="3"/>
  <c r="AC9" i="3"/>
  <c r="AB10" i="3"/>
  <c r="AC10" i="3"/>
  <c r="AB14" i="3"/>
  <c r="AC14" i="3"/>
  <c r="AB33" i="3"/>
  <c r="AC33" i="3"/>
  <c r="G81" i="3"/>
  <c r="AB37" i="3"/>
  <c r="AC37" i="3"/>
  <c r="AB58" i="3"/>
  <c r="AC58" i="3"/>
  <c r="N30" i="2"/>
  <c r="O30" i="2"/>
  <c r="D3" i="4"/>
  <c r="D1" i="4"/>
  <c r="K3" i="4"/>
  <c r="K10" i="4"/>
  <c r="U10" i="4"/>
  <c r="V10" i="4"/>
  <c r="W10" i="4"/>
  <c r="X10" i="4"/>
  <c r="D16" i="4"/>
  <c r="K1" i="4"/>
  <c r="K16" i="4"/>
  <c r="U16" i="4"/>
  <c r="E16" i="4"/>
  <c r="V16" i="4"/>
  <c r="F16" i="4"/>
  <c r="W16" i="4"/>
  <c r="X16" i="4"/>
  <c r="D17" i="4"/>
  <c r="K17" i="4"/>
  <c r="U17" i="4"/>
  <c r="E17" i="4"/>
  <c r="V17" i="4"/>
  <c r="F17" i="4"/>
  <c r="W17" i="4"/>
  <c r="X17" i="4"/>
  <c r="D18" i="4"/>
  <c r="K18" i="4"/>
  <c r="U18" i="4"/>
  <c r="E18" i="4"/>
  <c r="V18" i="4"/>
  <c r="F18" i="4"/>
  <c r="W18" i="4"/>
  <c r="X18" i="4"/>
  <c r="D19" i="4"/>
  <c r="K19" i="4"/>
  <c r="U19" i="4"/>
  <c r="E19" i="4"/>
  <c r="V19" i="4"/>
  <c r="F19" i="4"/>
  <c r="W19" i="4"/>
  <c r="X19" i="4"/>
  <c r="D20" i="4"/>
  <c r="K20" i="4"/>
  <c r="U20" i="4"/>
  <c r="E20" i="4"/>
  <c r="V20" i="4"/>
  <c r="F20" i="4"/>
  <c r="W20" i="4"/>
  <c r="X20" i="4"/>
  <c r="D21" i="4"/>
  <c r="K21" i="4"/>
  <c r="U21" i="4"/>
  <c r="E21" i="4"/>
  <c r="V21" i="4"/>
  <c r="F21" i="4"/>
  <c r="W21" i="4"/>
  <c r="X21" i="4"/>
  <c r="D22" i="4"/>
  <c r="K22" i="4"/>
  <c r="U22" i="4"/>
  <c r="E22" i="4"/>
  <c r="V22" i="4"/>
  <c r="F22" i="4"/>
  <c r="W22" i="4"/>
  <c r="X22" i="4"/>
  <c r="D23" i="4"/>
  <c r="K23" i="4"/>
  <c r="U23" i="4"/>
  <c r="E23" i="4"/>
  <c r="V23" i="4"/>
  <c r="F23" i="4"/>
  <c r="W23" i="4"/>
  <c r="X23" i="4"/>
  <c r="D24" i="4"/>
  <c r="K24" i="4"/>
  <c r="U24" i="4"/>
  <c r="E24" i="4"/>
  <c r="V24" i="4"/>
  <c r="F24" i="4"/>
  <c r="W24" i="4"/>
  <c r="X24" i="4"/>
  <c r="K9" i="4"/>
  <c r="U9" i="4"/>
  <c r="V9" i="4"/>
  <c r="W9" i="4"/>
  <c r="X9" i="4"/>
  <c r="K8" i="4"/>
  <c r="U8" i="4"/>
  <c r="V8" i="4"/>
  <c r="W8" i="4"/>
  <c r="X8" i="4"/>
  <c r="X20" i="1"/>
  <c r="X21" i="1"/>
  <c r="X22" i="1"/>
  <c r="X23" i="1"/>
  <c r="X24" i="1"/>
  <c r="X25" i="1"/>
  <c r="X26" i="1"/>
  <c r="X27" i="1"/>
  <c r="X28" i="1"/>
  <c r="X29" i="1"/>
  <c r="X30" i="1"/>
  <c r="X31" i="1"/>
  <c r="X32" i="1"/>
  <c r="X33" i="1"/>
  <c r="X34" i="1"/>
  <c r="X13" i="1"/>
  <c r="X14" i="1"/>
  <c r="X15" i="1"/>
  <c r="X16" i="1"/>
  <c r="X17" i="1"/>
  <c r="X18" i="1"/>
  <c r="X19" i="1"/>
  <c r="X9" i="1"/>
  <c r="X10" i="1"/>
  <c r="X11" i="1"/>
  <c r="X12" i="1"/>
  <c r="A65" i="3"/>
  <c r="A64" i="3"/>
  <c r="A63" i="3"/>
  <c r="A55" i="3"/>
  <c r="A54" i="3"/>
  <c r="A53" i="3"/>
  <c r="A52" i="3"/>
  <c r="A51" i="3"/>
  <c r="A50" i="3"/>
  <c r="A44" i="3"/>
  <c r="A43" i="3"/>
  <c r="A32" i="3"/>
  <c r="A31" i="3"/>
  <c r="A30" i="3"/>
  <c r="A29" i="3"/>
  <c r="A28" i="3"/>
  <c r="A22" i="3"/>
  <c r="S18" i="4"/>
  <c r="S19" i="4"/>
  <c r="S20" i="4"/>
  <c r="S21" i="4"/>
  <c r="S51" i="4"/>
  <c r="S22" i="4"/>
  <c r="S23" i="4"/>
  <c r="S24" i="4"/>
  <c r="S25" i="4"/>
  <c r="S26" i="4"/>
  <c r="S27" i="4"/>
  <c r="S28" i="4"/>
  <c r="S29" i="4"/>
  <c r="S30" i="4"/>
  <c r="S31" i="4"/>
  <c r="S32" i="4"/>
  <c r="S33" i="4"/>
  <c r="S34" i="4"/>
  <c r="S35" i="4"/>
  <c r="S36" i="4"/>
  <c r="S37" i="4"/>
  <c r="S38" i="4"/>
  <c r="S39" i="4"/>
  <c r="S40" i="4"/>
  <c r="S41" i="4"/>
  <c r="S42" i="4"/>
  <c r="S43" i="4"/>
  <c r="S44" i="4"/>
  <c r="S45" i="4"/>
  <c r="S46" i="4"/>
  <c r="S47" i="4"/>
  <c r="S48" i="4"/>
  <c r="S8" i="4"/>
  <c r="S9" i="4"/>
  <c r="S10" i="4"/>
  <c r="S11" i="4"/>
  <c r="S12" i="4"/>
  <c r="S13" i="4"/>
  <c r="S14" i="4"/>
  <c r="S15" i="4"/>
  <c r="S16" i="4"/>
  <c r="S17" i="4"/>
  <c r="R17" i="4"/>
  <c r="R18" i="4"/>
  <c r="R19" i="4"/>
  <c r="R20" i="4"/>
  <c r="R21" i="4"/>
  <c r="R51" i="4"/>
  <c r="R22" i="4"/>
  <c r="R23" i="4"/>
  <c r="R24" i="4"/>
  <c r="R26" i="4"/>
  <c r="R27" i="4"/>
  <c r="R28" i="4"/>
  <c r="R29" i="4"/>
  <c r="R30" i="4"/>
  <c r="R31" i="4"/>
  <c r="R32" i="4"/>
  <c r="R33" i="4"/>
  <c r="R34" i="4"/>
  <c r="R35" i="4"/>
  <c r="R36" i="4"/>
  <c r="R37" i="4"/>
  <c r="R38" i="4"/>
  <c r="R39" i="4"/>
  <c r="R40" i="4"/>
  <c r="R42" i="4"/>
  <c r="R44" i="4"/>
  <c r="R46" i="4"/>
  <c r="R47" i="4"/>
  <c r="R48" i="4"/>
  <c r="L8" i="4"/>
  <c r="G8" i="4"/>
  <c r="T8" i="4"/>
  <c r="AD8" i="4"/>
  <c r="L9" i="4"/>
  <c r="O9" i="4"/>
  <c r="Z9" i="4"/>
  <c r="L10" i="4"/>
  <c r="L11" i="4"/>
  <c r="L12" i="4"/>
  <c r="L13" i="4"/>
  <c r="L14" i="4"/>
  <c r="K14" i="4"/>
  <c r="Q14" i="4"/>
  <c r="AB14" i="4"/>
  <c r="L15" i="4"/>
  <c r="K15" i="4"/>
  <c r="F12" i="4"/>
  <c r="O15" i="4"/>
  <c r="Z15" i="4"/>
  <c r="L16" i="4"/>
  <c r="M16" i="4"/>
  <c r="N16" i="4"/>
  <c r="L17" i="4"/>
  <c r="G17" i="4"/>
  <c r="T17" i="4"/>
  <c r="AD17" i="4"/>
  <c r="L18" i="4"/>
  <c r="L19" i="4"/>
  <c r="L20" i="4"/>
  <c r="L21" i="4"/>
  <c r="M21" i="4"/>
  <c r="N21" i="4"/>
  <c r="L51" i="4"/>
  <c r="K51" i="4"/>
  <c r="M51" i="4"/>
  <c r="N51" i="4"/>
  <c r="L22" i="4"/>
  <c r="G22" i="4"/>
  <c r="T22" i="4"/>
  <c r="AD22" i="4"/>
  <c r="L23" i="4"/>
  <c r="F15" i="4"/>
  <c r="O23" i="4"/>
  <c r="Z23" i="4"/>
  <c r="I45" i="4"/>
  <c r="L24" i="4"/>
  <c r="L25" i="4"/>
  <c r="F44" i="4"/>
  <c r="F45" i="4"/>
  <c r="G45" i="4"/>
  <c r="E44" i="4"/>
  <c r="D44" i="4"/>
  <c r="F43" i="4"/>
  <c r="E43" i="4"/>
  <c r="D43" i="4"/>
  <c r="F42" i="4"/>
  <c r="E42" i="4"/>
  <c r="D42" i="4"/>
  <c r="F41" i="4"/>
  <c r="D41" i="4"/>
  <c r="E40" i="4"/>
  <c r="D40" i="4"/>
  <c r="F39" i="4"/>
  <c r="E39" i="4"/>
  <c r="D39" i="4"/>
  <c r="F38" i="4"/>
  <c r="E38" i="4"/>
  <c r="F37" i="4"/>
  <c r="E37" i="4"/>
  <c r="D37" i="4"/>
  <c r="F36" i="4"/>
  <c r="E36" i="4"/>
  <c r="D36" i="4"/>
  <c r="F35" i="4"/>
  <c r="E35" i="4"/>
  <c r="D35" i="4"/>
  <c r="F34" i="4"/>
  <c r="E34" i="4"/>
  <c r="D34" i="4"/>
  <c r="G46" i="4"/>
  <c r="G47" i="4"/>
  <c r="G48" i="4"/>
  <c r="F33" i="4"/>
  <c r="E33" i="4"/>
  <c r="D33" i="4"/>
  <c r="F32" i="4"/>
  <c r="E32" i="4"/>
  <c r="D32" i="4"/>
  <c r="F31" i="4"/>
  <c r="E31" i="4"/>
  <c r="D31" i="4"/>
  <c r="F30" i="4"/>
  <c r="E30" i="4"/>
  <c r="D30" i="4"/>
  <c r="G9" i="4"/>
  <c r="G10" i="4"/>
  <c r="F29" i="4"/>
  <c r="E29" i="4"/>
  <c r="D29" i="4"/>
  <c r="D28" i="4"/>
  <c r="G28" i="4"/>
  <c r="D27" i="4"/>
  <c r="G27" i="4"/>
  <c r="D26" i="4"/>
  <c r="G26" i="4"/>
  <c r="D25" i="4"/>
  <c r="G25" i="4"/>
  <c r="F51" i="4"/>
  <c r="E51" i="4"/>
  <c r="D51" i="4"/>
  <c r="F13" i="4"/>
  <c r="E13" i="4"/>
  <c r="D13" i="4"/>
  <c r="G40" i="4"/>
  <c r="G38" i="4"/>
  <c r="G42" i="4"/>
  <c r="G35" i="4"/>
  <c r="G41" i="4"/>
  <c r="G44" i="4"/>
  <c r="G36" i="4"/>
  <c r="G43" i="4"/>
  <c r="G31" i="4"/>
  <c r="G19" i="4"/>
  <c r="G39" i="4"/>
  <c r="G37" i="4"/>
  <c r="G34" i="4"/>
  <c r="G29" i="4"/>
  <c r="G30" i="4"/>
  <c r="G51" i="4"/>
  <c r="G32" i="4"/>
  <c r="G18" i="4"/>
  <c r="G33" i="4"/>
  <c r="G21" i="4"/>
  <c r="G24" i="4"/>
  <c r="G20" i="4"/>
  <c r="G13" i="4"/>
  <c r="G16" i="4"/>
  <c r="G23" i="4"/>
  <c r="J45" i="4"/>
  <c r="J46" i="4"/>
  <c r="J47" i="4"/>
  <c r="J48" i="4"/>
  <c r="J30" i="4"/>
  <c r="I30" i="4"/>
  <c r="K30" i="4"/>
  <c r="J31" i="4"/>
  <c r="J32" i="4"/>
  <c r="J33" i="4"/>
  <c r="J34" i="4"/>
  <c r="J35" i="4"/>
  <c r="J36" i="4"/>
  <c r="J37" i="4"/>
  <c r="J38" i="4"/>
  <c r="I38" i="4"/>
  <c r="K38" i="4"/>
  <c r="J40" i="4"/>
  <c r="J41" i="4"/>
  <c r="J42" i="4"/>
  <c r="J43" i="4"/>
  <c r="J44" i="4"/>
  <c r="J29" i="4"/>
  <c r="J28" i="4"/>
  <c r="I28" i="4"/>
  <c r="K28" i="4"/>
  <c r="T28" i="4"/>
  <c r="G65" i="9"/>
  <c r="J39" i="4"/>
  <c r="AB15" i="3"/>
  <c r="AC15" i="3"/>
  <c r="P52" i="1"/>
  <c r="O52" i="1"/>
  <c r="P50" i="1"/>
  <c r="O51" i="1"/>
  <c r="O50" i="1"/>
  <c r="N46" i="1"/>
  <c r="O37" i="1"/>
  <c r="N37" i="1"/>
  <c r="P35" i="1"/>
  <c r="O35" i="1"/>
  <c r="N52" i="1"/>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G3" i="9"/>
  <c r="G4" i="9"/>
  <c r="G5" i="9"/>
  <c r="G6" i="9"/>
  <c r="G7" i="9"/>
  <c r="G8" i="9"/>
  <c r="G9" i="9"/>
  <c r="G10" i="9"/>
  <c r="G11" i="9"/>
  <c r="G12" i="9"/>
  <c r="G13" i="9"/>
  <c r="G14" i="9"/>
  <c r="G15" i="9"/>
  <c r="G16" i="9"/>
  <c r="G17" i="9"/>
  <c r="G18" i="9"/>
  <c r="G19" i="9"/>
  <c r="G20" i="9"/>
  <c r="G21" i="9"/>
  <c r="G22" i="9"/>
  <c r="G23" i="9"/>
  <c r="B81" i="9"/>
  <c r="B82" i="9"/>
  <c r="B83" i="9"/>
  <c r="B84" i="9"/>
  <c r="B85" i="9"/>
  <c r="B74" i="9"/>
  <c r="B75" i="9"/>
  <c r="B76" i="9"/>
  <c r="B77" i="9"/>
  <c r="B78" i="9"/>
  <c r="B79" i="9"/>
  <c r="B80" i="9"/>
  <c r="B65" i="9"/>
  <c r="B66" i="9"/>
  <c r="B67" i="9"/>
  <c r="B68" i="9"/>
  <c r="B69" i="9"/>
  <c r="B70" i="9"/>
  <c r="B71" i="9"/>
  <c r="B72" i="9"/>
  <c r="B73" i="9"/>
  <c r="B45" i="9"/>
  <c r="B46" i="9"/>
  <c r="B47" i="9"/>
  <c r="B48" i="9"/>
  <c r="B49" i="9"/>
  <c r="B50" i="9"/>
  <c r="B51" i="9"/>
  <c r="B52" i="9"/>
  <c r="B53" i="9"/>
  <c r="B54" i="9"/>
  <c r="B55" i="9"/>
  <c r="B56" i="9"/>
  <c r="B57" i="9"/>
  <c r="B58" i="9"/>
  <c r="B59" i="9"/>
  <c r="B60" i="9"/>
  <c r="B61" i="9"/>
  <c r="B62" i="9"/>
  <c r="B63" i="9"/>
  <c r="B64" i="9"/>
  <c r="B44"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3" i="9"/>
  <c r="B4" i="9"/>
  <c r="B5" i="9"/>
  <c r="B6" i="9"/>
  <c r="B7" i="9"/>
  <c r="B8" i="9"/>
  <c r="B9" i="9"/>
  <c r="B10" i="9"/>
  <c r="B11" i="9"/>
  <c r="B12" i="9"/>
  <c r="B13" i="9"/>
  <c r="B2" i="9"/>
  <c r="C1" i="9"/>
  <c r="D1" i="9"/>
  <c r="E1" i="9"/>
  <c r="F1" i="9"/>
  <c r="B131" i="9"/>
  <c r="C131" i="9"/>
  <c r="D131" i="9"/>
  <c r="E131" i="9"/>
  <c r="F131" i="9"/>
  <c r="B132" i="9"/>
  <c r="C132" i="9"/>
  <c r="D132" i="9"/>
  <c r="E132" i="9"/>
  <c r="F132" i="9"/>
  <c r="B133" i="9"/>
  <c r="C133" i="9"/>
  <c r="D133" i="9"/>
  <c r="E133" i="9"/>
  <c r="F133" i="9"/>
  <c r="B134" i="9"/>
  <c r="C134" i="9"/>
  <c r="D134" i="9"/>
  <c r="E134" i="9"/>
  <c r="F134" i="9"/>
  <c r="B135" i="9"/>
  <c r="C135" i="9"/>
  <c r="D135" i="9"/>
  <c r="E135" i="9"/>
  <c r="F135" i="9"/>
  <c r="B136" i="9"/>
  <c r="C136" i="9"/>
  <c r="D136" i="9"/>
  <c r="E136" i="9"/>
  <c r="F136" i="9"/>
  <c r="B137" i="9"/>
  <c r="C137" i="9"/>
  <c r="D137" i="9"/>
  <c r="E137" i="9"/>
  <c r="F137" i="9"/>
  <c r="B138" i="9"/>
  <c r="C138" i="9"/>
  <c r="D138" i="9"/>
  <c r="E138" i="9"/>
  <c r="F138" i="9"/>
  <c r="B139" i="9"/>
  <c r="C139" i="9"/>
  <c r="D139" i="9"/>
  <c r="E139" i="9"/>
  <c r="F139" i="9"/>
  <c r="B140" i="9"/>
  <c r="C140" i="9"/>
  <c r="D140" i="9"/>
  <c r="E140" i="9"/>
  <c r="F140" i="9"/>
  <c r="B141" i="9"/>
  <c r="C141" i="9"/>
  <c r="D141" i="9"/>
  <c r="E141" i="9"/>
  <c r="F141" i="9"/>
  <c r="B142" i="9"/>
  <c r="C142" i="9"/>
  <c r="D142" i="9"/>
  <c r="E142" i="9"/>
  <c r="F142" i="9"/>
  <c r="B143" i="9"/>
  <c r="C143" i="9"/>
  <c r="D143" i="9"/>
  <c r="E143" i="9"/>
  <c r="F143" i="9"/>
  <c r="B144" i="9"/>
  <c r="C144" i="9"/>
  <c r="D144" i="9"/>
  <c r="E144" i="9"/>
  <c r="F144" i="9"/>
  <c r="G144" i="9"/>
  <c r="B145" i="9"/>
  <c r="C145" i="9"/>
  <c r="D145" i="9"/>
  <c r="E145" i="9"/>
  <c r="F145" i="9"/>
  <c r="G145" i="9"/>
  <c r="B146" i="9"/>
  <c r="C146" i="9"/>
  <c r="D146" i="9"/>
  <c r="E146" i="9"/>
  <c r="F146" i="9"/>
  <c r="G146" i="9"/>
  <c r="B147" i="9"/>
  <c r="C147" i="9"/>
  <c r="D147" i="9"/>
  <c r="E147" i="9"/>
  <c r="F147" i="9"/>
  <c r="B148" i="9"/>
  <c r="C148" i="9"/>
  <c r="D148" i="9"/>
  <c r="E148" i="9"/>
  <c r="F148" i="9"/>
  <c r="B149" i="9"/>
  <c r="C149" i="9"/>
  <c r="D149" i="9"/>
  <c r="E149" i="9"/>
  <c r="F149" i="9"/>
  <c r="B150" i="9"/>
  <c r="C150" i="9"/>
  <c r="D150" i="9"/>
  <c r="E150" i="9"/>
  <c r="F150" i="9"/>
  <c r="B151" i="9"/>
  <c r="C151" i="9"/>
  <c r="D151" i="9"/>
  <c r="E151" i="9"/>
  <c r="F151" i="9"/>
  <c r="B152" i="9"/>
  <c r="C152" i="9"/>
  <c r="D152" i="9"/>
  <c r="E152" i="9"/>
  <c r="F152" i="9"/>
  <c r="B153" i="9"/>
  <c r="C153" i="9"/>
  <c r="D153" i="9"/>
  <c r="E153" i="9"/>
  <c r="F153" i="9"/>
  <c r="B154" i="9"/>
  <c r="C154" i="9"/>
  <c r="D154" i="9"/>
  <c r="E154" i="9"/>
  <c r="F154" i="9"/>
  <c r="B155" i="9"/>
  <c r="C155" i="9"/>
  <c r="D155" i="9"/>
  <c r="E155" i="9"/>
  <c r="F155" i="9"/>
  <c r="B156" i="9"/>
  <c r="C156" i="9"/>
  <c r="D156" i="9"/>
  <c r="E156" i="9"/>
  <c r="F156" i="9"/>
  <c r="B157" i="9"/>
  <c r="C157" i="9"/>
  <c r="D157" i="9"/>
  <c r="E157" i="9"/>
  <c r="F157" i="9"/>
  <c r="B158" i="9"/>
  <c r="C158" i="9"/>
  <c r="D158" i="9"/>
  <c r="E158" i="9"/>
  <c r="F158" i="9"/>
  <c r="B159" i="9"/>
  <c r="C159" i="9"/>
  <c r="D159" i="9"/>
  <c r="E159" i="9"/>
  <c r="F159" i="9"/>
  <c r="B160" i="9"/>
  <c r="C160" i="9"/>
  <c r="D160" i="9"/>
  <c r="E160" i="9"/>
  <c r="F160" i="9"/>
  <c r="B161" i="9"/>
  <c r="C161" i="9"/>
  <c r="D161" i="9"/>
  <c r="E161" i="9"/>
  <c r="F161" i="9"/>
  <c r="B162" i="9"/>
  <c r="C162" i="9"/>
  <c r="D162" i="9"/>
  <c r="E162" i="9"/>
  <c r="F162" i="9"/>
  <c r="B163" i="9"/>
  <c r="C163" i="9"/>
  <c r="D163" i="9"/>
  <c r="E163" i="9"/>
  <c r="F163" i="9"/>
  <c r="B164" i="9"/>
  <c r="C164" i="9"/>
  <c r="D164" i="9"/>
  <c r="E164" i="9"/>
  <c r="F164" i="9"/>
  <c r="B165" i="9"/>
  <c r="C165" i="9"/>
  <c r="D165" i="9"/>
  <c r="E165" i="9"/>
  <c r="F165" i="9"/>
  <c r="B166" i="9"/>
  <c r="C166" i="9"/>
  <c r="D166" i="9"/>
  <c r="E166" i="9"/>
  <c r="F166" i="9"/>
  <c r="B167" i="9"/>
  <c r="C167" i="9"/>
  <c r="D167" i="9"/>
  <c r="E167" i="9"/>
  <c r="F167" i="9"/>
  <c r="B168" i="9"/>
  <c r="C168" i="9"/>
  <c r="D168" i="9"/>
  <c r="E168" i="9"/>
  <c r="F168" i="9"/>
  <c r="B169" i="9"/>
  <c r="C169" i="9"/>
  <c r="D169" i="9"/>
  <c r="E169" i="9"/>
  <c r="F169" i="9"/>
  <c r="B170" i="9"/>
  <c r="C170" i="9"/>
  <c r="D170" i="9"/>
  <c r="E170" i="9"/>
  <c r="F170" i="9"/>
  <c r="B171" i="9"/>
  <c r="C171" i="9"/>
  <c r="D171" i="9"/>
  <c r="E171" i="9"/>
  <c r="F171" i="9"/>
  <c r="B172" i="9"/>
  <c r="C172" i="9"/>
  <c r="D172" i="9"/>
  <c r="E172" i="9"/>
  <c r="F172" i="9"/>
  <c r="B173" i="9"/>
  <c r="C173" i="9"/>
  <c r="D173" i="9"/>
  <c r="E173" i="9"/>
  <c r="F173" i="9"/>
  <c r="B174" i="9"/>
  <c r="C174" i="9"/>
  <c r="D174" i="9"/>
  <c r="E174" i="9"/>
  <c r="F174" i="9"/>
  <c r="B175" i="9"/>
  <c r="C175" i="9"/>
  <c r="D175" i="9"/>
  <c r="E175" i="9"/>
  <c r="F175" i="9"/>
  <c r="B176" i="9"/>
  <c r="C176" i="9"/>
  <c r="D176" i="9"/>
  <c r="E176" i="9"/>
  <c r="F176" i="9"/>
  <c r="B177" i="9"/>
  <c r="C177" i="9"/>
  <c r="D177" i="9"/>
  <c r="E177" i="9"/>
  <c r="F177" i="9"/>
  <c r="B178" i="9"/>
  <c r="C178" i="9"/>
  <c r="D178" i="9"/>
  <c r="E178" i="9"/>
  <c r="F178" i="9"/>
  <c r="B179" i="9"/>
  <c r="C179" i="9"/>
  <c r="D179" i="9"/>
  <c r="E179" i="9"/>
  <c r="F179" i="9"/>
  <c r="B180" i="9"/>
  <c r="C180" i="9"/>
  <c r="D180" i="9"/>
  <c r="E180" i="9"/>
  <c r="F180" i="9"/>
  <c r="B181" i="9"/>
  <c r="C181" i="9"/>
  <c r="D181" i="9"/>
  <c r="E181" i="9"/>
  <c r="F181" i="9"/>
  <c r="B182" i="9"/>
  <c r="C182" i="9"/>
  <c r="D182" i="9"/>
  <c r="E182" i="9"/>
  <c r="F182" i="9"/>
  <c r="B183" i="9"/>
  <c r="C183" i="9"/>
  <c r="D183" i="9"/>
  <c r="E183" i="9"/>
  <c r="F183" i="9"/>
  <c r="B184" i="9"/>
  <c r="C184" i="9"/>
  <c r="D184" i="9"/>
  <c r="E184" i="9"/>
  <c r="F184" i="9"/>
  <c r="B185" i="9"/>
  <c r="C185" i="9"/>
  <c r="D185" i="9"/>
  <c r="E185" i="9"/>
  <c r="F185" i="9"/>
  <c r="B186" i="9"/>
  <c r="C186" i="9"/>
  <c r="D186" i="9"/>
  <c r="E186" i="9"/>
  <c r="F186" i="9"/>
  <c r="B187" i="9"/>
  <c r="C187" i="9"/>
  <c r="D187" i="9"/>
  <c r="E187" i="9"/>
  <c r="F187" i="9"/>
  <c r="B188" i="9"/>
  <c r="C188" i="9"/>
  <c r="D188" i="9"/>
  <c r="E188" i="9"/>
  <c r="F188" i="9"/>
  <c r="B189" i="9"/>
  <c r="C189" i="9"/>
  <c r="D189" i="9"/>
  <c r="E189" i="9"/>
  <c r="F189" i="9"/>
  <c r="B190" i="9"/>
  <c r="C190" i="9"/>
  <c r="D190" i="9"/>
  <c r="E190" i="9"/>
  <c r="F190" i="9"/>
  <c r="B191" i="9"/>
  <c r="C191" i="9"/>
  <c r="D191" i="9"/>
  <c r="E191" i="9"/>
  <c r="F191" i="9"/>
  <c r="B192" i="9"/>
  <c r="C192" i="9"/>
  <c r="D192" i="9"/>
  <c r="E192" i="9"/>
  <c r="F192" i="9"/>
  <c r="B193" i="9"/>
  <c r="C193" i="9"/>
  <c r="D193" i="9"/>
  <c r="E193" i="9"/>
  <c r="F193" i="9"/>
  <c r="B194" i="9"/>
  <c r="C194" i="9"/>
  <c r="D194" i="9"/>
  <c r="E194" i="9"/>
  <c r="F194" i="9"/>
  <c r="B195" i="9"/>
  <c r="C195" i="9"/>
  <c r="D195" i="9"/>
  <c r="E195" i="9"/>
  <c r="F195" i="9"/>
  <c r="B196" i="9"/>
  <c r="C196" i="9"/>
  <c r="D196" i="9"/>
  <c r="E196" i="9"/>
  <c r="F196" i="9"/>
  <c r="L29" i="4"/>
  <c r="L30" i="4"/>
  <c r="L31" i="4"/>
  <c r="L32" i="4"/>
  <c r="L33" i="4"/>
  <c r="L34" i="4"/>
  <c r="L35" i="4"/>
  <c r="L36" i="4"/>
  <c r="L37" i="4"/>
  <c r="L38" i="4"/>
  <c r="L39" i="4"/>
  <c r="L40" i="4"/>
  <c r="L41" i="4"/>
  <c r="L42" i="4"/>
  <c r="L43" i="4"/>
  <c r="L44" i="4"/>
  <c r="L45" i="4"/>
  <c r="L46" i="4"/>
  <c r="L47" i="4"/>
  <c r="L48" i="4"/>
  <c r="L27" i="4"/>
  <c r="L28" i="4"/>
  <c r="L26" i="4"/>
  <c r="J27" i="4"/>
  <c r="I27" i="4"/>
  <c r="K27" i="4"/>
  <c r="J26" i="4"/>
  <c r="J25" i="4"/>
  <c r="I26" i="4"/>
  <c r="I31" i="4"/>
  <c r="I32" i="4"/>
  <c r="I33" i="4"/>
  <c r="I34" i="4"/>
  <c r="I35" i="4"/>
  <c r="K35" i="4"/>
  <c r="I36" i="4"/>
  <c r="I37" i="4"/>
  <c r="I39" i="4"/>
  <c r="K39" i="4"/>
  <c r="I40" i="4"/>
  <c r="K40" i="4"/>
  <c r="I41" i="4"/>
  <c r="K41" i="4"/>
  <c r="I42" i="4"/>
  <c r="K42" i="4"/>
  <c r="I43" i="4"/>
  <c r="K43" i="4"/>
  <c r="I44" i="4"/>
  <c r="I46" i="4"/>
  <c r="I47" i="4"/>
  <c r="K47" i="4"/>
  <c r="I48" i="4"/>
  <c r="K48" i="4"/>
  <c r="I25" i="4"/>
  <c r="K25" i="4"/>
  <c r="I13" i="4"/>
  <c r="K13" i="4"/>
  <c r="E15" i="4"/>
  <c r="V15" i="4"/>
  <c r="W15" i="4"/>
  <c r="D15" i="4"/>
  <c r="U15" i="4"/>
  <c r="X15" i="4"/>
  <c r="E14" i="4"/>
  <c r="V14" i="4"/>
  <c r="F14" i="4"/>
  <c r="W14" i="4"/>
  <c r="D14" i="4"/>
  <c r="U14" i="4"/>
  <c r="E12" i="4"/>
  <c r="K12" i="4"/>
  <c r="V12" i="4"/>
  <c r="W12" i="4"/>
  <c r="D12" i="4"/>
  <c r="U12" i="4"/>
  <c r="X12" i="4"/>
  <c r="F11" i="4"/>
  <c r="K11" i="4"/>
  <c r="W11" i="4"/>
  <c r="E11" i="4"/>
  <c r="V11" i="4"/>
  <c r="D11" i="4"/>
  <c r="U11" i="4"/>
  <c r="AB53" i="3"/>
  <c r="AC53" i="3"/>
  <c r="AB52" i="3"/>
  <c r="AC52" i="3"/>
  <c r="AB50" i="3"/>
  <c r="AC50" i="3"/>
  <c r="AB39" i="3"/>
  <c r="AC39" i="3"/>
  <c r="AB65" i="3"/>
  <c r="AC65" i="3"/>
  <c r="AB64" i="3"/>
  <c r="AC64" i="3"/>
  <c r="AB59" i="3"/>
  <c r="AC59" i="3"/>
  <c r="AB32" i="3"/>
  <c r="AC32" i="3"/>
  <c r="AB28" i="3"/>
  <c r="AC28" i="3"/>
  <c r="AB43" i="3"/>
  <c r="AC43" i="3"/>
  <c r="AB49" i="3"/>
  <c r="AC49" i="3"/>
  <c r="AB72" i="3"/>
  <c r="AC72" i="3"/>
  <c r="AB48" i="3"/>
  <c r="AC48" i="3"/>
  <c r="AB47" i="3"/>
  <c r="AC47" i="3"/>
  <c r="AB45" i="3"/>
  <c r="AC45" i="3"/>
  <c r="AB61" i="3"/>
  <c r="AC61" i="3"/>
  <c r="AB29" i="3"/>
  <c r="AC29" i="3"/>
  <c r="AB27" i="3"/>
  <c r="AC27" i="3"/>
  <c r="AB25" i="3"/>
  <c r="AC25" i="3"/>
  <c r="AB54" i="3"/>
  <c r="AC54" i="3"/>
  <c r="AB55" i="3"/>
  <c r="AC55" i="3"/>
  <c r="AB46" i="3"/>
  <c r="AC46" i="3"/>
  <c r="AB63" i="3"/>
  <c r="AC63" i="3"/>
  <c r="AB62" i="3"/>
  <c r="AC62" i="3"/>
  <c r="AB51" i="3"/>
  <c r="AC51" i="3"/>
  <c r="AB73" i="3"/>
  <c r="AC73" i="3"/>
  <c r="AB30" i="3"/>
  <c r="AC30" i="3"/>
  <c r="AB26" i="3"/>
  <c r="AC26" i="3"/>
  <c r="AB24" i="3"/>
  <c r="AC24" i="3"/>
  <c r="AB20" i="3"/>
  <c r="AC20" i="3"/>
  <c r="X14" i="4"/>
  <c r="X11" i="4"/>
  <c r="G15" i="4"/>
  <c r="G11" i="4"/>
  <c r="G14" i="4"/>
  <c r="G12" i="4"/>
  <c r="X43" i="1"/>
  <c r="G80" i="3"/>
  <c r="U80" i="3"/>
  <c r="K44" i="4"/>
  <c r="T44" i="4"/>
  <c r="K36" i="4"/>
  <c r="W36" i="4"/>
  <c r="K37" i="4"/>
  <c r="T37" i="4"/>
  <c r="K46" i="4"/>
  <c r="T46" i="4"/>
  <c r="K29" i="4"/>
  <c r="U29" i="4"/>
  <c r="Q8" i="4"/>
  <c r="AB8" i="4"/>
  <c r="O8" i="4"/>
  <c r="M8" i="4"/>
  <c r="P8" i="4"/>
  <c r="U81" i="3"/>
  <c r="P17" i="4"/>
  <c r="T14" i="4"/>
  <c r="O22" i="4"/>
  <c r="Q24" i="4"/>
  <c r="AB24" i="4"/>
  <c r="T16" i="4"/>
  <c r="G52" i="9"/>
  <c r="T19" i="4"/>
  <c r="G55" i="9"/>
  <c r="Q51" i="4"/>
  <c r="M9" i="4"/>
  <c r="U44" i="4"/>
  <c r="T9" i="4"/>
  <c r="T21" i="4"/>
  <c r="G57" i="9"/>
  <c r="G44" i="9"/>
  <c r="G53" i="9"/>
  <c r="G58" i="9"/>
  <c r="T51" i="4"/>
  <c r="G60" i="9"/>
  <c r="T18" i="4"/>
  <c r="G54" i="9"/>
  <c r="P23" i="4"/>
  <c r="AA23" i="4"/>
  <c r="T23" i="4"/>
  <c r="G59" i="9"/>
  <c r="T20" i="4"/>
  <c r="G56" i="9"/>
  <c r="T24" i="4"/>
  <c r="G61" i="9"/>
  <c r="G50" i="9"/>
  <c r="M23" i="4"/>
  <c r="N23" i="4"/>
  <c r="M22" i="4"/>
  <c r="Q23" i="4"/>
  <c r="AB23" i="4"/>
  <c r="Q21" i="4"/>
  <c r="P11" i="4"/>
  <c r="AA11" i="4"/>
  <c r="M11" i="4"/>
  <c r="N11" i="4"/>
  <c r="P19" i="4"/>
  <c r="AA19" i="4"/>
  <c r="Q19" i="4"/>
  <c r="AB19" i="4"/>
  <c r="O19" i="4"/>
  <c r="Z19" i="4"/>
  <c r="AD19" i="4"/>
  <c r="Q15" i="4"/>
  <c r="P15" i="4"/>
  <c r="T15" i="4"/>
  <c r="Q16" i="4"/>
  <c r="AB16" i="4"/>
  <c r="P12" i="4"/>
  <c r="AA12" i="4"/>
  <c r="M12" i="4"/>
  <c r="N12" i="4"/>
  <c r="O16" i="4"/>
  <c r="P16" i="4"/>
  <c r="AA16" i="4"/>
  <c r="P9" i="4"/>
  <c r="Q9" i="4"/>
  <c r="O24" i="4"/>
  <c r="Z24" i="4"/>
  <c r="P24" i="4"/>
  <c r="AA24" i="4"/>
  <c r="M24" i="4"/>
  <c r="N24" i="4"/>
  <c r="O12" i="4"/>
  <c r="Z12" i="4"/>
  <c r="M19" i="4"/>
  <c r="N19" i="4"/>
  <c r="Q11" i="4"/>
  <c r="AB11" i="4"/>
  <c r="Q10" i="4"/>
  <c r="AB10" i="4"/>
  <c r="T10" i="4"/>
  <c r="P10" i="4"/>
  <c r="AA10" i="4"/>
  <c r="Q20" i="4"/>
  <c r="AB20" i="4"/>
  <c r="O20" i="4"/>
  <c r="Z20" i="4"/>
  <c r="M20" i="4"/>
  <c r="N20" i="4"/>
  <c r="P20" i="4"/>
  <c r="AA20" i="4"/>
  <c r="M10" i="4"/>
  <c r="N10" i="4"/>
  <c r="O11" i="4"/>
  <c r="Z11" i="4"/>
  <c r="Q22" i="4"/>
  <c r="P22" i="4"/>
  <c r="Q12" i="4"/>
  <c r="AB12" i="4"/>
  <c r="O10" i="4"/>
  <c r="Z10" i="4"/>
  <c r="AD16" i="4"/>
  <c r="Q17" i="4"/>
  <c r="M17" i="4"/>
  <c r="N17" i="4"/>
  <c r="O17" i="4"/>
  <c r="M18" i="4"/>
  <c r="N18" i="4"/>
  <c r="Q18" i="4"/>
  <c r="AB18" i="4"/>
  <c r="P14" i="4"/>
  <c r="M14" i="4"/>
  <c r="O14" i="4"/>
  <c r="O18" i="4"/>
  <c r="Z18" i="4"/>
  <c r="P18" i="4"/>
  <c r="AA18" i="4"/>
  <c r="T11" i="4"/>
  <c r="O51" i="4"/>
  <c r="P51" i="4"/>
  <c r="O21" i="4"/>
  <c r="P21" i="4"/>
  <c r="M15" i="4"/>
  <c r="T12" i="4"/>
  <c r="AD24" i="4"/>
  <c r="AD10" i="4"/>
  <c r="G46" i="9"/>
  <c r="G45" i="9"/>
  <c r="AD18" i="4"/>
  <c r="AD23" i="4"/>
  <c r="AD20" i="4"/>
  <c r="AD12" i="4"/>
  <c r="G48" i="9"/>
  <c r="G51" i="9"/>
  <c r="AD11" i="4"/>
  <c r="G47" i="9"/>
  <c r="G154" i="9"/>
  <c r="G38" i="9"/>
  <c r="G43" i="9"/>
  <c r="G33" i="9"/>
  <c r="P34" i="2"/>
  <c r="P48" i="2"/>
  <c r="P53" i="2"/>
  <c r="P21" i="2"/>
  <c r="P47" i="2"/>
  <c r="P22" i="2"/>
  <c r="P25" i="2"/>
  <c r="P39" i="2"/>
  <c r="P49" i="2"/>
  <c r="P17" i="2"/>
  <c r="P36" i="2"/>
  <c r="P50" i="2"/>
  <c r="P18" i="2"/>
  <c r="P33" i="2"/>
  <c r="P52" i="2"/>
  <c r="P20" i="2"/>
  <c r="P37" i="2"/>
  <c r="P24" i="2"/>
  <c r="P38" i="2"/>
  <c r="P32" i="2"/>
  <c r="P40" i="2"/>
  <c r="P51" i="2"/>
  <c r="N8" i="1"/>
  <c r="O9" i="1"/>
  <c r="O31" i="1"/>
  <c r="O33" i="1"/>
  <c r="O11" i="1"/>
  <c r="O13" i="1"/>
  <c r="O15" i="1"/>
  <c r="O17" i="1"/>
  <c r="O19" i="1"/>
  <c r="O21" i="1"/>
  <c r="O23" i="1"/>
  <c r="O25" i="1"/>
  <c r="O27" i="1"/>
  <c r="O29" i="1"/>
  <c r="N9" i="1"/>
  <c r="N31" i="1"/>
  <c r="N33" i="1"/>
  <c r="N11" i="1"/>
  <c r="N13" i="1"/>
  <c r="N16" i="1"/>
  <c r="N18" i="1"/>
  <c r="N20" i="1"/>
  <c r="N24" i="1"/>
  <c r="N26" i="1"/>
  <c r="N28" i="1"/>
  <c r="P9" i="1"/>
  <c r="P10" i="1"/>
  <c r="P31" i="1"/>
  <c r="P32" i="1"/>
  <c r="P11" i="1"/>
  <c r="P12" i="1"/>
  <c r="P13" i="1"/>
  <c r="P14" i="1"/>
  <c r="P15" i="1"/>
  <c r="P16" i="1"/>
  <c r="P17" i="1"/>
  <c r="P18" i="1"/>
  <c r="P19" i="1"/>
  <c r="P20" i="1"/>
  <c r="P21" i="1"/>
  <c r="P23" i="1"/>
  <c r="P24" i="1"/>
  <c r="P25" i="1"/>
  <c r="P26" i="1"/>
  <c r="P27" i="1"/>
  <c r="P28" i="1"/>
  <c r="P29" i="1"/>
  <c r="O10" i="1"/>
  <c r="O30" i="1"/>
  <c r="O32" i="1"/>
  <c r="O34" i="1"/>
  <c r="O12" i="1"/>
  <c r="O14" i="1"/>
  <c r="O16" i="1"/>
  <c r="O18" i="1"/>
  <c r="O20" i="1"/>
  <c r="O22" i="1"/>
  <c r="O24" i="1"/>
  <c r="O26" i="1"/>
  <c r="O28" i="1"/>
  <c r="N10" i="1"/>
  <c r="N30" i="1"/>
  <c r="N32" i="1"/>
  <c r="N34" i="1"/>
  <c r="N12" i="1"/>
  <c r="N14" i="1"/>
  <c r="N15" i="1"/>
  <c r="N17" i="1"/>
  <c r="N19" i="1"/>
  <c r="N21" i="1"/>
  <c r="N23" i="1"/>
  <c r="N25" i="1"/>
  <c r="N27" i="1"/>
  <c r="N29" i="1"/>
  <c r="M9" i="1"/>
  <c r="M32" i="1"/>
  <c r="M12" i="1"/>
  <c r="M16" i="1"/>
  <c r="M20" i="1"/>
  <c r="M24" i="1"/>
  <c r="M28" i="1"/>
  <c r="M31" i="1"/>
  <c r="M11" i="1"/>
  <c r="M15" i="1"/>
  <c r="M19" i="1"/>
  <c r="M23" i="1"/>
  <c r="M27" i="1"/>
  <c r="M30" i="1"/>
  <c r="M34" i="1"/>
  <c r="M14" i="1"/>
  <c r="M18" i="1"/>
  <c r="M22" i="1"/>
  <c r="M26" i="1"/>
  <c r="M10" i="1"/>
  <c r="M33" i="1"/>
  <c r="M13" i="1"/>
  <c r="M17" i="1"/>
  <c r="M21" i="1"/>
  <c r="M25" i="1"/>
  <c r="M29" i="1"/>
  <c r="AN50" i="3"/>
  <c r="AN58" i="3"/>
  <c r="AN45" i="3"/>
  <c r="AN52" i="3"/>
  <c r="AN46" i="3"/>
  <c r="AN53" i="3"/>
  <c r="AM15" i="3"/>
  <c r="AN15" i="3"/>
  <c r="AN37" i="3"/>
  <c r="AN33" i="3"/>
  <c r="AN30" i="3"/>
  <c r="AN25" i="3"/>
  <c r="AN49" i="3"/>
  <c r="AN32" i="3"/>
  <c r="AN61" i="3"/>
  <c r="AN9" i="3"/>
  <c r="AN63" i="3"/>
  <c r="AN59" i="3"/>
  <c r="AN20" i="3"/>
  <c r="AN64" i="3"/>
  <c r="AN73" i="3"/>
  <c r="AN27" i="3"/>
  <c r="AN43" i="3"/>
  <c r="AN51" i="3"/>
  <c r="AN29" i="3"/>
  <c r="AM10" i="3"/>
  <c r="AN10" i="3"/>
  <c r="AN24" i="3"/>
  <c r="AN55" i="3"/>
  <c r="AN48" i="3"/>
  <c r="AN65" i="3"/>
  <c r="AN14" i="3"/>
  <c r="AN8" i="3"/>
  <c r="AN62" i="3"/>
  <c r="AN47" i="3"/>
  <c r="AN26" i="3"/>
  <c r="AN54" i="3"/>
  <c r="AN72" i="3"/>
  <c r="AN28" i="3"/>
  <c r="AN39" i="3"/>
  <c r="AM51" i="3"/>
  <c r="AM62" i="3"/>
  <c r="AM61" i="3"/>
  <c r="AM50" i="3"/>
  <c r="AM58" i="3"/>
  <c r="AM9" i="3"/>
  <c r="AM63" i="3"/>
  <c r="AM45" i="3"/>
  <c r="AM59" i="3"/>
  <c r="AM52" i="3"/>
  <c r="AM20" i="3"/>
  <c r="AM26" i="3"/>
  <c r="AM54" i="3"/>
  <c r="AM72" i="3"/>
  <c r="AM28" i="3"/>
  <c r="AM39" i="3"/>
  <c r="AM29" i="3"/>
  <c r="AM46" i="3"/>
  <c r="AM64" i="3"/>
  <c r="AM33" i="3"/>
  <c r="AM55" i="3"/>
  <c r="AM65" i="3"/>
  <c r="AM14" i="3"/>
  <c r="AM30" i="3"/>
  <c r="AM25" i="3"/>
  <c r="AM49" i="3"/>
  <c r="AM32" i="3"/>
  <c r="AM47" i="3"/>
  <c r="AM53" i="3"/>
  <c r="AM37" i="3"/>
  <c r="AM24" i="3"/>
  <c r="AM48" i="3"/>
  <c r="AM8" i="3"/>
  <c r="AM73" i="3"/>
  <c r="AM27" i="3"/>
  <c r="AM43" i="3"/>
  <c r="U14" i="3"/>
  <c r="U58" i="3"/>
  <c r="AK20" i="3"/>
  <c r="AO20" i="3"/>
  <c r="AL20" i="3"/>
  <c r="AK53" i="3"/>
  <c r="AO53" i="3"/>
  <c r="AL53" i="3"/>
  <c r="AL15" i="3"/>
  <c r="AK15" i="3"/>
  <c r="AO15" i="3"/>
  <c r="AK37" i="3"/>
  <c r="AO37" i="3"/>
  <c r="AL37" i="3"/>
  <c r="AK24" i="3"/>
  <c r="AO24" i="3"/>
  <c r="AL24" i="3"/>
  <c r="AK65" i="3"/>
  <c r="AO65" i="3"/>
  <c r="AL65" i="3"/>
  <c r="AL8" i="3"/>
  <c r="AK8" i="3"/>
  <c r="AO8" i="3"/>
  <c r="AK72" i="3"/>
  <c r="AO72" i="3"/>
  <c r="AL72" i="3"/>
  <c r="AK51" i="3"/>
  <c r="AO51" i="3"/>
  <c r="AL51" i="3"/>
  <c r="AK10" i="3"/>
  <c r="AO10" i="3"/>
  <c r="AL10" i="3"/>
  <c r="AK62" i="3"/>
  <c r="AO62" i="3"/>
  <c r="AL62" i="3"/>
  <c r="AK61" i="3"/>
  <c r="AO61" i="3"/>
  <c r="AL61" i="3"/>
  <c r="AK50" i="3"/>
  <c r="AO50" i="3"/>
  <c r="AL50" i="3"/>
  <c r="AK58" i="3"/>
  <c r="AO58" i="3"/>
  <c r="AL58" i="3"/>
  <c r="AK9" i="3"/>
  <c r="AO9" i="3"/>
  <c r="AL9" i="3"/>
  <c r="AK47" i="3"/>
  <c r="AO47" i="3"/>
  <c r="AL47" i="3"/>
  <c r="AK48" i="3"/>
  <c r="AO48" i="3"/>
  <c r="AL48" i="3"/>
  <c r="AK26" i="3"/>
  <c r="AO26" i="3"/>
  <c r="AL26" i="3"/>
  <c r="AK39" i="3"/>
  <c r="AO39" i="3"/>
  <c r="AL39" i="3"/>
  <c r="AK29" i="3"/>
  <c r="AO29" i="3"/>
  <c r="AL29" i="3"/>
  <c r="AB16" i="3"/>
  <c r="AC16" i="3"/>
  <c r="J16" i="3"/>
  <c r="AK63" i="3"/>
  <c r="AO63" i="3"/>
  <c r="AL63" i="3"/>
  <c r="AK45" i="3"/>
  <c r="AO45" i="3"/>
  <c r="AL45" i="3"/>
  <c r="AK59" i="3"/>
  <c r="AO59" i="3"/>
  <c r="AL59" i="3"/>
  <c r="AK52" i="3"/>
  <c r="AO52" i="3"/>
  <c r="AL52" i="3"/>
  <c r="AK54" i="3"/>
  <c r="AO54" i="3"/>
  <c r="AL54" i="3"/>
  <c r="AK30" i="3"/>
  <c r="AO30" i="3"/>
  <c r="AL30" i="3"/>
  <c r="AK25" i="3"/>
  <c r="AO25" i="3"/>
  <c r="AL25" i="3"/>
  <c r="AK49" i="3"/>
  <c r="AO49" i="3"/>
  <c r="AL49" i="3"/>
  <c r="AK32" i="3"/>
  <c r="AO32" i="3"/>
  <c r="AL32" i="3"/>
  <c r="AK46" i="3"/>
  <c r="AO46" i="3"/>
  <c r="AL46" i="3"/>
  <c r="AK64" i="3"/>
  <c r="AO64" i="3"/>
  <c r="AL64" i="3"/>
  <c r="AK33" i="3"/>
  <c r="AO33" i="3"/>
  <c r="AL33" i="3"/>
  <c r="AK55" i="3"/>
  <c r="AO55" i="3"/>
  <c r="AL55" i="3"/>
  <c r="AK14" i="3"/>
  <c r="AO14" i="3"/>
  <c r="AL14" i="3"/>
  <c r="AK28" i="3"/>
  <c r="AO28" i="3"/>
  <c r="AL28" i="3"/>
  <c r="AK73" i="3"/>
  <c r="AO73" i="3"/>
  <c r="AL73" i="3"/>
  <c r="AK27" i="3"/>
  <c r="AO27" i="3"/>
  <c r="AL27" i="3"/>
  <c r="AK43" i="3"/>
  <c r="AO43" i="3"/>
  <c r="AL43" i="3"/>
  <c r="O13" i="4"/>
  <c r="U13" i="4"/>
  <c r="U47" i="4"/>
  <c r="X47" i="4"/>
  <c r="T47" i="4"/>
  <c r="AD47" i="4"/>
  <c r="W47" i="4"/>
  <c r="K26" i="4"/>
  <c r="V26" i="4"/>
  <c r="K32" i="4"/>
  <c r="V46" i="4"/>
  <c r="T29" i="4"/>
  <c r="AB22" i="4"/>
  <c r="K31" i="4"/>
  <c r="T31" i="4"/>
  <c r="AD31" i="4"/>
  <c r="W46" i="4"/>
  <c r="AD44" i="4"/>
  <c r="AD37" i="4"/>
  <c r="AA21" i="4"/>
  <c r="V36" i="4"/>
  <c r="W41" i="4"/>
  <c r="T41" i="4"/>
  <c r="AD41" i="4"/>
  <c r="U41" i="4"/>
  <c r="V41" i="4"/>
  <c r="U32" i="4"/>
  <c r="T32" i="4"/>
  <c r="AD32" i="4"/>
  <c r="V48" i="4"/>
  <c r="T48" i="4"/>
  <c r="AD48" i="4"/>
  <c r="U48" i="4"/>
  <c r="X48" i="4"/>
  <c r="W39" i="4"/>
  <c r="T39" i="4"/>
  <c r="AD39" i="4"/>
  <c r="U39" i="4"/>
  <c r="V39" i="4"/>
  <c r="U31" i="4"/>
  <c r="N15" i="4"/>
  <c r="AA22" i="4"/>
  <c r="W13" i="4"/>
  <c r="K45" i="4"/>
  <c r="U45" i="4"/>
  <c r="AD15" i="4"/>
  <c r="AA14" i="4"/>
  <c r="AA15" i="4"/>
  <c r="W44" i="4"/>
  <c r="V13" i="4"/>
  <c r="K34" i="4"/>
  <c r="T34" i="4"/>
  <c r="AD34" i="4"/>
  <c r="AD46" i="4"/>
  <c r="K33" i="4"/>
  <c r="T33" i="4"/>
  <c r="AD33" i="4"/>
  <c r="N22" i="4"/>
  <c r="V28" i="4"/>
  <c r="T13" i="4"/>
  <c r="G49" i="9"/>
  <c r="W28" i="4"/>
  <c r="V37" i="4"/>
  <c r="U46" i="4"/>
  <c r="X46" i="4"/>
  <c r="Z22" i="4"/>
  <c r="X13" i="4"/>
  <c r="W37" i="4"/>
  <c r="AB51" i="4"/>
  <c r="U28" i="4"/>
  <c r="U37" i="4"/>
  <c r="AD29" i="4"/>
  <c r="AB15" i="4"/>
  <c r="AD51" i="4"/>
  <c r="Z51" i="4"/>
  <c r="AF10" i="3"/>
  <c r="AE10" i="3"/>
  <c r="AE62" i="3"/>
  <c r="AF62" i="3"/>
  <c r="AF61" i="3"/>
  <c r="AE61" i="3"/>
  <c r="AF50" i="3"/>
  <c r="AE50" i="3"/>
  <c r="AF58" i="3"/>
  <c r="AE58" i="3"/>
  <c r="AE9" i="3"/>
  <c r="AF9" i="3"/>
  <c r="AE63" i="3"/>
  <c r="AF63" i="3"/>
  <c r="AF45" i="3"/>
  <c r="AE45" i="3"/>
  <c r="AF59" i="3"/>
  <c r="AE59" i="3"/>
  <c r="AF52" i="3"/>
  <c r="AE52" i="3"/>
  <c r="AF20" i="3"/>
  <c r="AE20" i="3"/>
  <c r="AE53" i="3"/>
  <c r="AF53" i="3"/>
  <c r="AF55" i="3"/>
  <c r="AE55" i="3"/>
  <c r="AF28" i="3"/>
  <c r="AE28" i="3"/>
  <c r="AF29" i="3"/>
  <c r="AE29" i="3"/>
  <c r="AE47" i="3"/>
  <c r="AF47" i="3"/>
  <c r="AF48" i="3"/>
  <c r="AE48" i="3"/>
  <c r="AE14" i="3"/>
  <c r="AF14" i="3"/>
  <c r="AF72" i="3"/>
  <c r="AE72" i="3"/>
  <c r="AE30" i="3"/>
  <c r="AF30" i="3"/>
  <c r="AE25" i="3"/>
  <c r="AF25" i="3"/>
  <c r="AE49" i="3"/>
  <c r="AF49" i="3"/>
  <c r="AF32" i="3"/>
  <c r="AE32" i="3"/>
  <c r="AF51" i="3"/>
  <c r="AE51" i="3"/>
  <c r="AE46" i="3"/>
  <c r="AF46" i="3"/>
  <c r="AF64" i="3"/>
  <c r="AE64" i="3"/>
  <c r="AE15" i="3"/>
  <c r="AF15" i="3"/>
  <c r="AF37" i="3"/>
  <c r="AE37" i="3"/>
  <c r="AE33" i="3"/>
  <c r="AF33" i="3"/>
  <c r="AF24" i="3"/>
  <c r="AE24" i="3"/>
  <c r="AF65" i="3"/>
  <c r="AE65" i="3"/>
  <c r="AF8" i="3"/>
  <c r="AE8" i="3"/>
  <c r="AF26" i="3"/>
  <c r="AE26" i="3"/>
  <c r="AE54" i="3"/>
  <c r="AF54" i="3"/>
  <c r="AE39" i="3"/>
  <c r="AF39" i="3"/>
  <c r="AE73" i="3"/>
  <c r="AF73" i="3"/>
  <c r="AF27" i="3"/>
  <c r="AE27" i="3"/>
  <c r="AF43" i="3"/>
  <c r="AE43" i="3"/>
  <c r="T43" i="4"/>
  <c r="AD43" i="4"/>
  <c r="U43" i="4"/>
  <c r="V43" i="4"/>
  <c r="W43" i="4"/>
  <c r="V35" i="4"/>
  <c r="U35" i="4"/>
  <c r="W35" i="4"/>
  <c r="T35" i="4"/>
  <c r="AD35" i="4"/>
  <c r="V45" i="4"/>
  <c r="T42" i="4"/>
  <c r="AD42" i="4"/>
  <c r="W42" i="4"/>
  <c r="V42" i="4"/>
  <c r="U42" i="4"/>
  <c r="U34" i="4"/>
  <c r="W34" i="4"/>
  <c r="V34" i="4"/>
  <c r="W25" i="4"/>
  <c r="T25" i="4"/>
  <c r="V25" i="4"/>
  <c r="U25" i="4"/>
  <c r="U40" i="4"/>
  <c r="T40" i="4"/>
  <c r="AD40" i="4"/>
  <c r="V40" i="4"/>
  <c r="W40" i="4"/>
  <c r="U27" i="4"/>
  <c r="T27" i="4"/>
  <c r="V27" i="4"/>
  <c r="W27" i="4"/>
  <c r="W38" i="4"/>
  <c r="V38" i="4"/>
  <c r="U38" i="4"/>
  <c r="T38" i="4"/>
  <c r="AD38" i="4"/>
  <c r="U30" i="4"/>
  <c r="T30" i="4"/>
  <c r="AD30" i="4"/>
  <c r="W30" i="4"/>
  <c r="V30" i="4"/>
  <c r="AD28" i="4"/>
  <c r="AA51" i="4"/>
  <c r="AD14" i="4"/>
  <c r="U36" i="4"/>
  <c r="X36" i="4"/>
  <c r="N9" i="4"/>
  <c r="AA17" i="4"/>
  <c r="AD9" i="4"/>
  <c r="Z14" i="4"/>
  <c r="AB17" i="4"/>
  <c r="Z16" i="4"/>
  <c r="AD13" i="4"/>
  <c r="V44" i="4"/>
  <c r="X44" i="4"/>
  <c r="Z8" i="4"/>
  <c r="N14" i="4"/>
  <c r="W31" i="4"/>
  <c r="Z21" i="4"/>
  <c r="V31" i="4"/>
  <c r="V47" i="4"/>
  <c r="V29" i="4"/>
  <c r="W29" i="4"/>
  <c r="X29" i="4"/>
  <c r="V32" i="4"/>
  <c r="AA8" i="4"/>
  <c r="T36" i="4"/>
  <c r="AD36" i="4"/>
  <c r="AB9" i="4"/>
  <c r="W32" i="4"/>
  <c r="Z17" i="4"/>
  <c r="AA9" i="4"/>
  <c r="AB21" i="4"/>
  <c r="W48" i="4"/>
  <c r="AD21" i="4"/>
  <c r="N8" i="4"/>
  <c r="U13" i="3"/>
  <c r="AB13" i="3"/>
  <c r="AC13" i="3"/>
  <c r="V81" i="3"/>
  <c r="U70" i="3"/>
  <c r="AB70" i="3"/>
  <c r="AC70" i="3"/>
  <c r="U38" i="3"/>
  <c r="AB38" i="3"/>
  <c r="AC38" i="3"/>
  <c r="U34" i="3"/>
  <c r="AB34" i="3"/>
  <c r="AC34" i="3"/>
  <c r="U68" i="3"/>
  <c r="AB68" i="3"/>
  <c r="AC68" i="3"/>
  <c r="U59" i="3"/>
  <c r="U40" i="3"/>
  <c r="AB40" i="3"/>
  <c r="AC40" i="3"/>
  <c r="U12" i="3"/>
  <c r="AB12" i="3"/>
  <c r="AC12" i="3"/>
  <c r="U66" i="3"/>
  <c r="AB66" i="3"/>
  <c r="AC66" i="3"/>
  <c r="U42" i="3"/>
  <c r="AB42" i="3"/>
  <c r="AC42" i="3"/>
  <c r="U67" i="3"/>
  <c r="AB67" i="3"/>
  <c r="AC67" i="3"/>
  <c r="U71" i="3"/>
  <c r="AB71" i="3"/>
  <c r="AC71" i="3"/>
  <c r="U19" i="3"/>
  <c r="AB19" i="3"/>
  <c r="AC19" i="3"/>
  <c r="U17" i="3"/>
  <c r="AB17" i="3"/>
  <c r="AC17" i="3"/>
  <c r="U57" i="3"/>
  <c r="AB57" i="3"/>
  <c r="AC57" i="3"/>
  <c r="U18" i="3"/>
  <c r="AB18" i="3"/>
  <c r="AC18" i="3"/>
  <c r="U69" i="3"/>
  <c r="AB69" i="3"/>
  <c r="AC69" i="3"/>
  <c r="U41" i="3"/>
  <c r="AB41" i="3"/>
  <c r="AC41" i="3"/>
  <c r="U35" i="3"/>
  <c r="AB35" i="3"/>
  <c r="AC35" i="3"/>
  <c r="U11" i="3"/>
  <c r="AB11" i="3"/>
  <c r="AC11" i="3"/>
  <c r="J26" i="3"/>
  <c r="G149" i="9"/>
  <c r="J54" i="3"/>
  <c r="G177" i="9"/>
  <c r="J72" i="3"/>
  <c r="G195" i="9"/>
  <c r="J39" i="3"/>
  <c r="G162" i="9"/>
  <c r="J43" i="3"/>
  <c r="G166" i="9"/>
  <c r="J53" i="3"/>
  <c r="G176" i="9"/>
  <c r="J78" i="3"/>
  <c r="Q81" i="3"/>
  <c r="V67" i="3"/>
  <c r="V19" i="3"/>
  <c r="V10" i="3"/>
  <c r="J32" i="3"/>
  <c r="G155" i="9"/>
  <c r="J64" i="3"/>
  <c r="G187" i="9"/>
  <c r="J17" i="3"/>
  <c r="G140" i="9"/>
  <c r="V71" i="3"/>
  <c r="V13" i="3"/>
  <c r="J20" i="3"/>
  <c r="G143" i="9"/>
  <c r="V44" i="3"/>
  <c r="J63" i="3"/>
  <c r="G186" i="9"/>
  <c r="J45" i="3"/>
  <c r="G168" i="9"/>
  <c r="V56" i="3"/>
  <c r="G156" i="9"/>
  <c r="G133" i="9"/>
  <c r="J80" i="3"/>
  <c r="V42" i="3"/>
  <c r="V68" i="3"/>
  <c r="V36" i="3"/>
  <c r="J47" i="3"/>
  <c r="G170" i="9"/>
  <c r="J15" i="3"/>
  <c r="G138" i="9"/>
  <c r="J81" i="3"/>
  <c r="G137" i="9"/>
  <c r="G132" i="9"/>
  <c r="V80" i="3"/>
  <c r="V8" i="3"/>
  <c r="Q80" i="3"/>
  <c r="V17" i="3"/>
  <c r="V12" i="3"/>
  <c r="J24" i="3"/>
  <c r="G147" i="9"/>
  <c r="J48" i="3"/>
  <c r="G171" i="9"/>
  <c r="J65" i="3"/>
  <c r="G188" i="9"/>
  <c r="J19" i="3"/>
  <c r="G142" i="9"/>
  <c r="V18" i="3"/>
  <c r="V38" i="3"/>
  <c r="P81" i="3"/>
  <c r="V66" i="3"/>
  <c r="R81" i="3"/>
  <c r="V37" i="3"/>
  <c r="G134" i="9"/>
  <c r="G136" i="9"/>
  <c r="V9" i="3"/>
  <c r="J79" i="3"/>
  <c r="J25" i="3"/>
  <c r="G148" i="9"/>
  <c r="J51" i="3"/>
  <c r="G174" i="9"/>
  <c r="G181" i="9"/>
  <c r="G157" i="9"/>
  <c r="J68" i="3"/>
  <c r="G191" i="9"/>
  <c r="P80" i="3"/>
  <c r="V14" i="3"/>
  <c r="V39" i="3"/>
  <c r="J66" i="3"/>
  <c r="G189" i="9"/>
  <c r="R80" i="3"/>
  <c r="V34" i="3"/>
  <c r="V11" i="3"/>
  <c r="V15" i="3"/>
  <c r="V33" i="3"/>
  <c r="J30" i="3"/>
  <c r="G153" i="9"/>
  <c r="J70" i="3"/>
  <c r="G193" i="9"/>
  <c r="J42" i="3"/>
  <c r="G165" i="9"/>
  <c r="J55" i="3"/>
  <c r="G178" i="9"/>
  <c r="J29" i="3"/>
  <c r="G152" i="9"/>
  <c r="G158" i="9"/>
  <c r="V70" i="3"/>
  <c r="V40" i="3"/>
  <c r="J61" i="3"/>
  <c r="G184" i="9"/>
  <c r="J50" i="3"/>
  <c r="G173" i="9"/>
  <c r="J52" i="3"/>
  <c r="G175" i="9"/>
  <c r="J46" i="3"/>
  <c r="G169" i="9"/>
  <c r="G180" i="9"/>
  <c r="J49" i="3"/>
  <c r="G172" i="9"/>
  <c r="J28" i="3"/>
  <c r="G151" i="9"/>
  <c r="G163" i="9"/>
  <c r="U39" i="3"/>
  <c r="J62" i="3"/>
  <c r="G185" i="9"/>
  <c r="V58" i="3"/>
  <c r="V69" i="3"/>
  <c r="G161" i="9"/>
  <c r="U33" i="3"/>
  <c r="G160" i="9"/>
  <c r="J69" i="3"/>
  <c r="G192" i="9"/>
  <c r="J73" i="3"/>
  <c r="G196" i="9"/>
  <c r="J27" i="3"/>
  <c r="G150" i="9"/>
  <c r="J67" i="3"/>
  <c r="G190" i="9"/>
  <c r="U37" i="3"/>
  <c r="J71" i="3"/>
  <c r="G194" i="9"/>
  <c r="J59" i="3"/>
  <c r="G182" i="9"/>
  <c r="V41" i="3"/>
  <c r="G131" i="9"/>
  <c r="V59" i="3"/>
  <c r="V35" i="3"/>
  <c r="G135" i="9"/>
  <c r="V57" i="3"/>
  <c r="U9" i="3"/>
  <c r="J41" i="3"/>
  <c r="G164" i="9"/>
  <c r="J18" i="3"/>
  <c r="G141" i="9"/>
  <c r="U8" i="3"/>
  <c r="U15" i="3"/>
  <c r="U10" i="3"/>
  <c r="Z51" i="2"/>
  <c r="G120" i="9"/>
  <c r="U39" i="1"/>
  <c r="I39" i="1"/>
  <c r="I38" i="1"/>
  <c r="U38" i="1"/>
  <c r="U44" i="1"/>
  <c r="I44" i="1"/>
  <c r="AB30" i="1"/>
  <c r="Y30" i="1"/>
  <c r="AC30" i="1"/>
  <c r="Q34" i="1"/>
  <c r="G28" i="9"/>
  <c r="W43" i="1"/>
  <c r="J40" i="1"/>
  <c r="G34" i="9"/>
  <c r="Q30" i="1"/>
  <c r="G24" i="9"/>
  <c r="J30" i="1"/>
  <c r="V49" i="1"/>
  <c r="X49" i="1"/>
  <c r="W41" i="1"/>
  <c r="X47" i="1"/>
  <c r="V47" i="1"/>
  <c r="W47" i="1"/>
  <c r="B52" i="1"/>
  <c r="Q52" i="1"/>
  <c r="J52" i="1"/>
  <c r="Q31" i="1"/>
  <c r="G25" i="9"/>
  <c r="J31" i="1"/>
  <c r="N50" i="1"/>
  <c r="B51" i="1"/>
  <c r="B42" i="1"/>
  <c r="J41" i="1"/>
  <c r="G31" i="1"/>
  <c r="R31" i="1"/>
  <c r="S31" i="1"/>
  <c r="G30" i="1"/>
  <c r="R30" i="1"/>
  <c r="S30" i="1"/>
  <c r="O8" i="1"/>
  <c r="G41" i="9"/>
  <c r="N51" i="1"/>
  <c r="V40" i="1"/>
  <c r="W40" i="1"/>
  <c r="B36" i="1"/>
  <c r="J33" i="1"/>
  <c r="G35" i="1"/>
  <c r="R35" i="1"/>
  <c r="P34" i="1"/>
  <c r="X41" i="1"/>
  <c r="J43" i="1"/>
  <c r="P37" i="1"/>
  <c r="I49" i="1"/>
  <c r="Q38" i="1"/>
  <c r="G32" i="9"/>
  <c r="Q36" i="1"/>
  <c r="G30" i="9"/>
  <c r="B45" i="1"/>
  <c r="O46" i="1"/>
  <c r="J51" i="1"/>
  <c r="J45" i="1"/>
  <c r="J42" i="1"/>
  <c r="B48" i="1"/>
  <c r="I34" i="1"/>
  <c r="W34" i="1"/>
  <c r="Y34" i="1"/>
  <c r="AC34" i="1"/>
  <c r="Z32" i="2"/>
  <c r="G101" i="9"/>
  <c r="AD18" i="2"/>
  <c r="Z47" i="2"/>
  <c r="G116" i="9"/>
  <c r="Z37" i="2"/>
  <c r="G106" i="9"/>
  <c r="Z50" i="2"/>
  <c r="G119" i="9"/>
  <c r="AS51" i="2"/>
  <c r="AD48" i="2"/>
  <c r="AD38" i="2"/>
  <c r="AH38" i="2"/>
  <c r="AI38" i="2"/>
  <c r="AD17" i="2"/>
  <c r="AD32" i="2"/>
  <c r="AH32" i="2"/>
  <c r="AI32" i="2"/>
  <c r="AN47" i="2"/>
  <c r="AP47" i="2"/>
  <c r="AD51" i="2"/>
  <c r="AD36" i="2"/>
  <c r="Z17" i="2"/>
  <c r="G86" i="9"/>
  <c r="AD50" i="2"/>
  <c r="AM47" i="2"/>
  <c r="AO47" i="2"/>
  <c r="Z36" i="2"/>
  <c r="G105" i="9"/>
  <c r="AS38" i="2"/>
  <c r="AN32" i="2"/>
  <c r="AP32" i="2"/>
  <c r="AF48" i="2"/>
  <c r="AD37" i="2"/>
  <c r="Z23" i="2"/>
  <c r="G92" i="9"/>
  <c r="AD40" i="2"/>
  <c r="Z28" i="2"/>
  <c r="G97" i="9"/>
  <c r="AB61" i="2"/>
  <c r="AC61" i="2"/>
  <c r="AD61" i="2"/>
  <c r="AS40" i="2"/>
  <c r="AS45" i="2"/>
  <c r="AS59" i="2"/>
  <c r="Z29" i="2"/>
  <c r="G98" i="9"/>
  <c r="AD58" i="2"/>
  <c r="AB29" i="2"/>
  <c r="AC29" i="2"/>
  <c r="G113" i="9"/>
  <c r="AD45" i="2"/>
  <c r="Z21" i="2"/>
  <c r="G90" i="9"/>
  <c r="AD24" i="2"/>
  <c r="Z57" i="2"/>
  <c r="G126" i="9"/>
  <c r="Z56" i="2"/>
  <c r="G125" i="9"/>
  <c r="G115" i="9"/>
  <c r="Z19" i="2"/>
  <c r="G88" i="9"/>
  <c r="AD46" i="2"/>
  <c r="Z42" i="2"/>
  <c r="G111" i="9"/>
  <c r="AB27" i="2"/>
  <c r="AC27" i="2"/>
  <c r="AD34" i="2"/>
  <c r="Z20" i="2"/>
  <c r="G89" i="9"/>
  <c r="Z41" i="2"/>
  <c r="G110" i="9"/>
  <c r="AB59" i="2"/>
  <c r="AC59" i="2"/>
  <c r="AD59" i="2"/>
  <c r="AD41" i="2"/>
  <c r="AD20" i="2"/>
  <c r="Z76" i="2"/>
  <c r="AA76" i="2"/>
  <c r="Q27" i="2"/>
  <c r="Z68" i="2"/>
  <c r="Z74" i="2"/>
  <c r="AA74" i="2"/>
  <c r="Z34" i="2"/>
  <c r="G103" i="9"/>
  <c r="AD44" i="2"/>
  <c r="AB28" i="2"/>
  <c r="AC28" i="2"/>
  <c r="Z26" i="2"/>
  <c r="G95" i="9"/>
  <c r="AB70" i="2"/>
  <c r="AC70" i="2"/>
  <c r="AD70" i="2"/>
  <c r="Z69" i="2"/>
  <c r="Z75" i="2"/>
  <c r="AA75" i="2"/>
  <c r="AB19" i="2"/>
  <c r="AC19" i="2"/>
  <c r="Z55" i="2"/>
  <c r="G124" i="9"/>
  <c r="AB42" i="2"/>
  <c r="AC42" i="2"/>
  <c r="AP9" i="3"/>
  <c r="AP27" i="3"/>
  <c r="AP10" i="3"/>
  <c r="AQ10" i="3"/>
  <c r="AN70" i="3"/>
  <c r="AN19" i="3"/>
  <c r="AP8" i="3"/>
  <c r="AQ8" i="3"/>
  <c r="AR8" i="3"/>
  <c r="AN57" i="3"/>
  <c r="AN67" i="3"/>
  <c r="AN40" i="3"/>
  <c r="AN16" i="3"/>
  <c r="AN41" i="3"/>
  <c r="AN38" i="3"/>
  <c r="AN17" i="3"/>
  <c r="AN42" i="3"/>
  <c r="AN69" i="3"/>
  <c r="AN68" i="3"/>
  <c r="AN18" i="3"/>
  <c r="AN71" i="3"/>
  <c r="AN12" i="3"/>
  <c r="AN13" i="3"/>
  <c r="AN66" i="3"/>
  <c r="AN11" i="3"/>
  <c r="AM11" i="3"/>
  <c r="AN35" i="3"/>
  <c r="AN34" i="3"/>
  <c r="AQ9" i="3"/>
  <c r="AR9" i="3"/>
  <c r="AP73" i="3"/>
  <c r="AQ27" i="3"/>
  <c r="AR27" i="3"/>
  <c r="AP29" i="3"/>
  <c r="AP47" i="3"/>
  <c r="AM40" i="3"/>
  <c r="AM41" i="3"/>
  <c r="AM38" i="3"/>
  <c r="AP28" i="3"/>
  <c r="AQ28" i="3"/>
  <c r="AM17" i="3"/>
  <c r="AM42" i="3"/>
  <c r="AM16" i="3"/>
  <c r="AM67" i="3"/>
  <c r="AM68" i="3"/>
  <c r="AM57" i="3"/>
  <c r="AM70" i="3"/>
  <c r="AM19" i="3"/>
  <c r="AM71" i="3"/>
  <c r="AM13" i="3"/>
  <c r="AM69" i="3"/>
  <c r="AM66" i="3"/>
  <c r="AM18" i="3"/>
  <c r="AM12" i="3"/>
  <c r="AM35" i="3"/>
  <c r="AM34" i="3"/>
  <c r="AP49" i="3"/>
  <c r="AP51" i="3"/>
  <c r="AQ51" i="3"/>
  <c r="AP45" i="3"/>
  <c r="K44" i="3"/>
  <c r="AP61" i="3"/>
  <c r="AQ61" i="3"/>
  <c r="AP24" i="3"/>
  <c r="AP33" i="3"/>
  <c r="AQ33" i="3"/>
  <c r="AP32" i="3"/>
  <c r="AQ32" i="3"/>
  <c r="AP59" i="3"/>
  <c r="AP63" i="3"/>
  <c r="AQ63" i="3"/>
  <c r="AP37" i="3"/>
  <c r="AQ37" i="3"/>
  <c r="AP14" i="3"/>
  <c r="AQ14" i="3"/>
  <c r="AP58" i="3"/>
  <c r="AP64" i="3"/>
  <c r="AQ64" i="3"/>
  <c r="AP53" i="3"/>
  <c r="AP30" i="3"/>
  <c r="AQ30" i="3"/>
  <c r="AP15" i="3"/>
  <c r="AQ15" i="3"/>
  <c r="AR15" i="3"/>
  <c r="AP54" i="3"/>
  <c r="AQ54" i="3"/>
  <c r="AP46" i="3"/>
  <c r="AQ46" i="3"/>
  <c r="AP43" i="3"/>
  <c r="AQ43" i="3"/>
  <c r="AP62" i="3"/>
  <c r="AQ62" i="3"/>
  <c r="AP20" i="3"/>
  <c r="AP26" i="3"/>
  <c r="AP48" i="3"/>
  <c r="AQ48" i="3"/>
  <c r="AP50" i="3"/>
  <c r="AQ50" i="3"/>
  <c r="AP55" i="3"/>
  <c r="AQ55" i="3"/>
  <c r="AP39" i="3"/>
  <c r="AQ39" i="3"/>
  <c r="AP65" i="3"/>
  <c r="AQ65" i="3"/>
  <c r="AP25" i="3"/>
  <c r="AQ25" i="3"/>
  <c r="AK18" i="3"/>
  <c r="AO18" i="3"/>
  <c r="AL18" i="3"/>
  <c r="AK71" i="3"/>
  <c r="AO71" i="3"/>
  <c r="AL71" i="3"/>
  <c r="AK12" i="3"/>
  <c r="AO12" i="3"/>
  <c r="AL12" i="3"/>
  <c r="AK13" i="3"/>
  <c r="AO13" i="3"/>
  <c r="AL13" i="3"/>
  <c r="AL35" i="3"/>
  <c r="AK35" i="3"/>
  <c r="AO35" i="3"/>
  <c r="AK34" i="3"/>
  <c r="AO34" i="3"/>
  <c r="AL34" i="3"/>
  <c r="AK67" i="3"/>
  <c r="AO67" i="3"/>
  <c r="AL67" i="3"/>
  <c r="AL42" i="3"/>
  <c r="AK42" i="3"/>
  <c r="AO42" i="3"/>
  <c r="AK69" i="3"/>
  <c r="AO69" i="3"/>
  <c r="AL69" i="3"/>
  <c r="AK70" i="3"/>
  <c r="AO70" i="3"/>
  <c r="AL70" i="3"/>
  <c r="AK57" i="3"/>
  <c r="AO57" i="3"/>
  <c r="AL57" i="3"/>
  <c r="AK41" i="3"/>
  <c r="AO41" i="3"/>
  <c r="AL41" i="3"/>
  <c r="AK66" i="3"/>
  <c r="AO66" i="3"/>
  <c r="AL66" i="3"/>
  <c r="AK40" i="3"/>
  <c r="AO40" i="3"/>
  <c r="AL40" i="3"/>
  <c r="AK38" i="3"/>
  <c r="AO38" i="3"/>
  <c r="AL38" i="3"/>
  <c r="AK17" i="3"/>
  <c r="AO17" i="3"/>
  <c r="AL17" i="3"/>
  <c r="AK16" i="3"/>
  <c r="AO16" i="3"/>
  <c r="AL16" i="3"/>
  <c r="AK19" i="3"/>
  <c r="AO19" i="3"/>
  <c r="AL19" i="3"/>
  <c r="AK68" i="3"/>
  <c r="AO68" i="3"/>
  <c r="AL68" i="3"/>
  <c r="AE16" i="3"/>
  <c r="AP52" i="3"/>
  <c r="AQ52" i="3"/>
  <c r="AP72" i="3"/>
  <c r="AQ72" i="3"/>
  <c r="AL11" i="3"/>
  <c r="AK11" i="3"/>
  <c r="AO11" i="3"/>
  <c r="AF16" i="3"/>
  <c r="W26" i="4"/>
  <c r="X32" i="4"/>
  <c r="X40" i="4"/>
  <c r="U26" i="4"/>
  <c r="T26" i="4"/>
  <c r="AD26" i="4"/>
  <c r="T45" i="4"/>
  <c r="AD45" i="4"/>
  <c r="W33" i="4"/>
  <c r="X25" i="4"/>
  <c r="W45" i="4"/>
  <c r="X39" i="4"/>
  <c r="X31" i="4"/>
  <c r="U33" i="4"/>
  <c r="V33" i="4"/>
  <c r="X33" i="4"/>
  <c r="X42" i="4"/>
  <c r="X41" i="4"/>
  <c r="X37" i="4"/>
  <c r="X28" i="4"/>
  <c r="G139" i="9"/>
  <c r="J84" i="3"/>
  <c r="J85" i="3"/>
  <c r="AF18" i="3"/>
  <c r="AE18" i="3"/>
  <c r="AF71" i="3"/>
  <c r="AE71" i="3"/>
  <c r="AF12" i="3"/>
  <c r="AE12" i="3"/>
  <c r="AE13" i="3"/>
  <c r="AF13" i="3"/>
  <c r="AF35" i="3"/>
  <c r="AE35" i="3"/>
  <c r="AF34" i="3"/>
  <c r="AE34" i="3"/>
  <c r="AF11" i="3"/>
  <c r="AE11" i="3"/>
  <c r="AE57" i="3"/>
  <c r="AF57" i="3"/>
  <c r="AE38" i="3"/>
  <c r="AF38" i="3"/>
  <c r="AE17" i="3"/>
  <c r="AF17" i="3"/>
  <c r="AF42" i="3"/>
  <c r="AE42" i="3"/>
  <c r="AF67" i="3"/>
  <c r="AE67" i="3"/>
  <c r="AE41" i="3"/>
  <c r="AF41" i="3"/>
  <c r="AF69" i="3"/>
  <c r="AE69" i="3"/>
  <c r="AE70" i="3"/>
  <c r="AF70" i="3"/>
  <c r="AF40" i="3"/>
  <c r="AE40" i="3"/>
  <c r="AF19" i="3"/>
  <c r="AE19" i="3"/>
  <c r="AF66" i="3"/>
  <c r="AE66" i="3"/>
  <c r="AE68" i="3"/>
  <c r="AF68" i="3"/>
  <c r="X27" i="4"/>
  <c r="X35" i="4"/>
  <c r="X30" i="4"/>
  <c r="G64" i="9"/>
  <c r="AD27" i="4"/>
  <c r="G62" i="9"/>
  <c r="AD25" i="4"/>
  <c r="X38" i="4"/>
  <c r="X34" i="4"/>
  <c r="X43" i="4"/>
  <c r="G63" i="9"/>
  <c r="X45" i="4"/>
  <c r="U44" i="3"/>
  <c r="AB44" i="3"/>
  <c r="AC44" i="3"/>
  <c r="J60" i="3"/>
  <c r="G183" i="9"/>
  <c r="AB60" i="3"/>
  <c r="AC60" i="3"/>
  <c r="G179" i="9"/>
  <c r="AB56" i="3"/>
  <c r="AC56" i="3"/>
  <c r="U36" i="3"/>
  <c r="AB36" i="3"/>
  <c r="AC36" i="3"/>
  <c r="J44" i="3"/>
  <c r="G167" i="9"/>
  <c r="K56" i="3"/>
  <c r="G159" i="9"/>
  <c r="K10" i="3"/>
  <c r="K11" i="3"/>
  <c r="AA11" i="2"/>
  <c r="K60" i="3"/>
  <c r="U56" i="3"/>
  <c r="X44" i="1"/>
  <c r="V44" i="1"/>
  <c r="W44" i="1"/>
  <c r="Y44" i="1"/>
  <c r="AC44" i="1"/>
  <c r="B35" i="1"/>
  <c r="Q35" i="1"/>
  <c r="G29" i="9"/>
  <c r="J36" i="1"/>
  <c r="Q32" i="1"/>
  <c r="J32" i="1"/>
  <c r="W49" i="1"/>
  <c r="J34" i="1"/>
  <c r="S34" i="1"/>
  <c r="I48" i="1"/>
  <c r="U48" i="1"/>
  <c r="Q8" i="1"/>
  <c r="J8" i="1"/>
  <c r="B8" i="1"/>
  <c r="I45" i="1"/>
  <c r="U45" i="1"/>
  <c r="B50" i="1"/>
  <c r="Q50" i="1"/>
  <c r="J50" i="1"/>
  <c r="I36" i="1"/>
  <c r="U36" i="1"/>
  <c r="I42" i="1"/>
  <c r="U42" i="1"/>
  <c r="I52" i="1"/>
  <c r="U52" i="1"/>
  <c r="Q46" i="1"/>
  <c r="B46" i="1"/>
  <c r="X38" i="1"/>
  <c r="V38" i="1"/>
  <c r="W38" i="1"/>
  <c r="Q37" i="1"/>
  <c r="B37" i="1"/>
  <c r="J38" i="1"/>
  <c r="I51" i="1"/>
  <c r="U51" i="1"/>
  <c r="X39" i="1"/>
  <c r="V39" i="1"/>
  <c r="W39" i="1"/>
  <c r="AM32" i="2"/>
  <c r="AO32" i="2"/>
  <c r="AH18" i="2"/>
  <c r="AI18" i="2"/>
  <c r="AM18" i="2"/>
  <c r="AO18" i="2"/>
  <c r="AN18" i="2"/>
  <c r="AP18" i="2"/>
  <c r="AF51" i="2"/>
  <c r="AN38" i="2"/>
  <c r="AP38" i="2"/>
  <c r="AM38" i="2"/>
  <c r="AO38" i="2"/>
  <c r="AM17" i="2"/>
  <c r="AO17" i="2"/>
  <c r="AH17" i="2"/>
  <c r="AI17" i="2"/>
  <c r="AS48" i="2"/>
  <c r="Z38" i="2"/>
  <c r="G107" i="9"/>
  <c r="AN17" i="2"/>
  <c r="AP17" i="2"/>
  <c r="AH50" i="2"/>
  <c r="AI50" i="2"/>
  <c r="AM50" i="2"/>
  <c r="AO50" i="2"/>
  <c r="AN50" i="2"/>
  <c r="AP50" i="2"/>
  <c r="AH20" i="2"/>
  <c r="AI20" i="2"/>
  <c r="AM20" i="2"/>
  <c r="AO20" i="2"/>
  <c r="AN20" i="2"/>
  <c r="AP20" i="2"/>
  <c r="AH34" i="2"/>
  <c r="AI34" i="2"/>
  <c r="AN34" i="2"/>
  <c r="AP34" i="2"/>
  <c r="AM34" i="2"/>
  <c r="AO34" i="2"/>
  <c r="AH36" i="2"/>
  <c r="AI36" i="2"/>
  <c r="AN36" i="2"/>
  <c r="AP36" i="2"/>
  <c r="AM36" i="2"/>
  <c r="AO36" i="2"/>
  <c r="AH51" i="2"/>
  <c r="AI51" i="2"/>
  <c r="AN51" i="2"/>
  <c r="AP51" i="2"/>
  <c r="AM51" i="2"/>
  <c r="AO51" i="2"/>
  <c r="AH48" i="2"/>
  <c r="AI48" i="2"/>
  <c r="AM48" i="2"/>
  <c r="AO48" i="2"/>
  <c r="AN48" i="2"/>
  <c r="AP48" i="2"/>
  <c r="AD33" i="2"/>
  <c r="AH33" i="2"/>
  <c r="AI33" i="2"/>
  <c r="AH37" i="2"/>
  <c r="AI37" i="2"/>
  <c r="AN37" i="2"/>
  <c r="AP37" i="2"/>
  <c r="AM37" i="2"/>
  <c r="AO37" i="2"/>
  <c r="AH40" i="2"/>
  <c r="AI40" i="2"/>
  <c r="AM40" i="2"/>
  <c r="AO40" i="2"/>
  <c r="AN40" i="2"/>
  <c r="AP40" i="2"/>
  <c r="AH45" i="2"/>
  <c r="AI45" i="2"/>
  <c r="AN45" i="2"/>
  <c r="AP45" i="2"/>
  <c r="AM45" i="2"/>
  <c r="AO45" i="2"/>
  <c r="AH58" i="2"/>
  <c r="AI58" i="2"/>
  <c r="AM58" i="2"/>
  <c r="AO58" i="2"/>
  <c r="AN58" i="2"/>
  <c r="AP58" i="2"/>
  <c r="AH41" i="2"/>
  <c r="AI41" i="2"/>
  <c r="AM41" i="2"/>
  <c r="AO41" i="2"/>
  <c r="AN41" i="2"/>
  <c r="AP41" i="2"/>
  <c r="AH44" i="2"/>
  <c r="AI44" i="2"/>
  <c r="AM44" i="2"/>
  <c r="AO44" i="2"/>
  <c r="AN44" i="2"/>
  <c r="AP44" i="2"/>
  <c r="AH59" i="2"/>
  <c r="AI59" i="2"/>
  <c r="AN59" i="2"/>
  <c r="AP59" i="2"/>
  <c r="AM59" i="2"/>
  <c r="AO59" i="2"/>
  <c r="AH46" i="2"/>
  <c r="AI46" i="2"/>
  <c r="AM46" i="2"/>
  <c r="AO46" i="2"/>
  <c r="AN46" i="2"/>
  <c r="AP46" i="2"/>
  <c r="AH24" i="2"/>
  <c r="AI24" i="2"/>
  <c r="AM24" i="2"/>
  <c r="AO24" i="2"/>
  <c r="AN24" i="2"/>
  <c r="AP24" i="2"/>
  <c r="AH61" i="2"/>
  <c r="AI61" i="2"/>
  <c r="AN61" i="2"/>
  <c r="AP61" i="2"/>
  <c r="AM61" i="2"/>
  <c r="AO61" i="2"/>
  <c r="AS46" i="2"/>
  <c r="Z24" i="2"/>
  <c r="G93" i="9"/>
  <c r="AD29" i="2"/>
  <c r="Z40" i="2"/>
  <c r="G109" i="9"/>
  <c r="AS26" i="2"/>
  <c r="AS43" i="2"/>
  <c r="AD28" i="2"/>
  <c r="AS53" i="2"/>
  <c r="AS42" i="2"/>
  <c r="AS44" i="2"/>
  <c r="AD42" i="2"/>
  <c r="G128" i="9"/>
  <c r="AF55" i="2"/>
  <c r="AS33" i="2"/>
  <c r="G114" i="9"/>
  <c r="Z54" i="2"/>
  <c r="G123" i="9"/>
  <c r="AD26" i="2"/>
  <c r="AD21" i="2"/>
  <c r="AS28" i="2"/>
  <c r="AD19" i="2"/>
  <c r="AD55" i="2"/>
  <c r="AB23" i="2"/>
  <c r="AC23" i="2"/>
  <c r="AD23" i="2"/>
  <c r="P23" i="2"/>
  <c r="AS41" i="2"/>
  <c r="AS23" i="2"/>
  <c r="AS29" i="2"/>
  <c r="AS36" i="2"/>
  <c r="AF36" i="2"/>
  <c r="AS32" i="2"/>
  <c r="AF32" i="2"/>
  <c r="AS52" i="2"/>
  <c r="AS50" i="2"/>
  <c r="AF50" i="2"/>
  <c r="Z25" i="2"/>
  <c r="G94" i="9"/>
  <c r="AD25" i="2"/>
  <c r="AS47" i="2"/>
  <c r="AF47" i="2"/>
  <c r="AS49" i="2"/>
  <c r="AS39" i="2"/>
  <c r="AS25" i="2"/>
  <c r="AS58" i="2"/>
  <c r="G127" i="9"/>
  <c r="AD49" i="2"/>
  <c r="Z49" i="2"/>
  <c r="G118" i="9"/>
  <c r="Z35" i="2"/>
  <c r="G104" i="9"/>
  <c r="AS60" i="2"/>
  <c r="G129" i="9"/>
  <c r="AB57" i="2"/>
  <c r="AC57" i="2"/>
  <c r="AS61" i="2"/>
  <c r="G130" i="9"/>
  <c r="AS18" i="2"/>
  <c r="AF18" i="2"/>
  <c r="AF21" i="2"/>
  <c r="AS21" i="2"/>
  <c r="AB56" i="2"/>
  <c r="AC56" i="2"/>
  <c r="AD22" i="2"/>
  <c r="Z22" i="2"/>
  <c r="G91" i="9"/>
  <c r="AS37" i="2"/>
  <c r="AF37" i="2"/>
  <c r="AS35" i="2"/>
  <c r="AB60" i="2"/>
  <c r="AC60" i="2"/>
  <c r="AD53" i="2"/>
  <c r="Z53" i="2"/>
  <c r="G122" i="9"/>
  <c r="AD52" i="2"/>
  <c r="Z52" i="2"/>
  <c r="G121" i="9"/>
  <c r="AS20" i="2"/>
  <c r="AF20" i="2"/>
  <c r="AD39" i="2"/>
  <c r="Z39" i="2"/>
  <c r="G108" i="9"/>
  <c r="AS22" i="2"/>
  <c r="AS34" i="2"/>
  <c r="AF34" i="2"/>
  <c r="AD43" i="2"/>
  <c r="Z43" i="2"/>
  <c r="G112" i="9"/>
  <c r="AS19" i="2"/>
  <c r="AF19" i="2"/>
  <c r="AR37" i="3"/>
  <c r="AR61" i="3"/>
  <c r="AR10" i="3"/>
  <c r="AR43" i="3"/>
  <c r="AR39" i="3"/>
  <c r="AR54" i="3"/>
  <c r="AR28" i="3"/>
  <c r="AR63" i="3"/>
  <c r="AR51" i="3"/>
  <c r="AP34" i="3"/>
  <c r="AQ34" i="3"/>
  <c r="AR34" i="3"/>
  <c r="AQ24" i="3"/>
  <c r="AR24" i="3"/>
  <c r="AQ47" i="3"/>
  <c r="AR47" i="3"/>
  <c r="AR65" i="3"/>
  <c r="AQ59" i="3"/>
  <c r="AR59" i="3"/>
  <c r="AR62" i="3"/>
  <c r="AR32" i="3"/>
  <c r="AR14" i="3"/>
  <c r="AN56" i="3"/>
  <c r="AQ20" i="3"/>
  <c r="AR20" i="3"/>
  <c r="AN36" i="3"/>
  <c r="AQ29" i="3"/>
  <c r="AR29" i="3"/>
  <c r="AR48" i="3"/>
  <c r="AQ26" i="3"/>
  <c r="AR26" i="3"/>
  <c r="AQ53" i="3"/>
  <c r="AR53" i="3"/>
  <c r="AR72" i="3"/>
  <c r="AR52" i="3"/>
  <c r="AP57" i="3"/>
  <c r="AQ57" i="3"/>
  <c r="AQ45" i="3"/>
  <c r="AR45" i="3"/>
  <c r="AQ73" i="3"/>
  <c r="AR73" i="3"/>
  <c r="AR33" i="3"/>
  <c r="AR30" i="3"/>
  <c r="AR64" i="3"/>
  <c r="AQ58" i="3"/>
  <c r="AR58" i="3"/>
  <c r="AN60" i="3"/>
  <c r="AR25" i="3"/>
  <c r="AN44" i="3"/>
  <c r="AQ49" i="3"/>
  <c r="AR49" i="3"/>
  <c r="AR46" i="3"/>
  <c r="AR50" i="3"/>
  <c r="AR55" i="3"/>
  <c r="AM36" i="3"/>
  <c r="AM56" i="3"/>
  <c r="AM60" i="3"/>
  <c r="AM44" i="3"/>
  <c r="AP68" i="3"/>
  <c r="AP67" i="3"/>
  <c r="AP66" i="3"/>
  <c r="AQ66" i="3"/>
  <c r="AP41" i="3"/>
  <c r="AQ41" i="3"/>
  <c r="AP18" i="3"/>
  <c r="AQ18" i="3"/>
  <c r="AR18" i="3"/>
  <c r="AP19" i="3"/>
  <c r="AQ19" i="3"/>
  <c r="AP40" i="3"/>
  <c r="AQ40" i="3"/>
  <c r="AP13" i="3"/>
  <c r="AQ13" i="3"/>
  <c r="AP17" i="3"/>
  <c r="AQ17" i="3"/>
  <c r="AP42" i="3"/>
  <c r="AQ42" i="3"/>
  <c r="AP71" i="3"/>
  <c r="AQ71" i="3"/>
  <c r="AP38" i="3"/>
  <c r="AQ38" i="3"/>
  <c r="AP70" i="3"/>
  <c r="AQ70" i="3"/>
  <c r="AP69" i="3"/>
  <c r="AQ69" i="3"/>
  <c r="AP16" i="3"/>
  <c r="AQ16" i="3"/>
  <c r="AP12" i="3"/>
  <c r="AQ12" i="3"/>
  <c r="AP11" i="3"/>
  <c r="AP35" i="3"/>
  <c r="AL36" i="3"/>
  <c r="AK36" i="3"/>
  <c r="AO36" i="3"/>
  <c r="AK60" i="3"/>
  <c r="AO60" i="3"/>
  <c r="AL60" i="3"/>
  <c r="AK56" i="3"/>
  <c r="AO56" i="3"/>
  <c r="AL56" i="3"/>
  <c r="AK44" i="3"/>
  <c r="AO44" i="3"/>
  <c r="AL44" i="3"/>
  <c r="X26" i="4"/>
  <c r="AA13" i="2"/>
  <c r="AF60" i="3"/>
  <c r="AE60" i="3"/>
  <c r="AF44" i="3"/>
  <c r="AE44" i="3"/>
  <c r="AF36" i="3"/>
  <c r="AE36" i="3"/>
  <c r="AF56" i="3"/>
  <c r="AE56" i="3"/>
  <c r="AA12" i="2"/>
  <c r="G40" i="9"/>
  <c r="S46" i="1"/>
  <c r="J46" i="1"/>
  <c r="X48" i="1"/>
  <c r="V48" i="1"/>
  <c r="W48" i="1"/>
  <c r="M8" i="1"/>
  <c r="U8" i="1"/>
  <c r="I8" i="1"/>
  <c r="V51" i="1"/>
  <c r="W51" i="1"/>
  <c r="X51" i="1"/>
  <c r="U50" i="1"/>
  <c r="I50" i="1"/>
  <c r="G31" i="9"/>
  <c r="S37" i="1"/>
  <c r="V45" i="1"/>
  <c r="W45" i="1"/>
  <c r="X45" i="1"/>
  <c r="J35" i="1"/>
  <c r="G26" i="9"/>
  <c r="S32" i="1"/>
  <c r="U46" i="1"/>
  <c r="I46" i="1"/>
  <c r="V52" i="1"/>
  <c r="W52" i="1"/>
  <c r="X52" i="1"/>
  <c r="J37" i="1"/>
  <c r="V42" i="1"/>
  <c r="W42" i="1"/>
  <c r="Y42" i="1"/>
  <c r="AC42" i="1"/>
  <c r="X42" i="1"/>
  <c r="V36" i="1"/>
  <c r="W36" i="1"/>
  <c r="Y36" i="1"/>
  <c r="AC36" i="1"/>
  <c r="X36" i="1"/>
  <c r="Q66" i="1"/>
  <c r="G2" i="9"/>
  <c r="Q69" i="1"/>
  <c r="Q68" i="1"/>
  <c r="Q67" i="1"/>
  <c r="S8" i="1"/>
  <c r="I37" i="1"/>
  <c r="U37" i="1"/>
  <c r="U35" i="1"/>
  <c r="I35" i="1"/>
  <c r="S35" i="1"/>
  <c r="AF38" i="2"/>
  <c r="Z33" i="2"/>
  <c r="G102" i="9"/>
  <c r="AH39" i="2"/>
  <c r="AI39" i="2"/>
  <c r="AN39" i="2"/>
  <c r="AP39" i="2"/>
  <c r="AM39" i="2"/>
  <c r="AO39" i="2"/>
  <c r="AN33" i="2"/>
  <c r="AP33" i="2"/>
  <c r="AM33" i="2"/>
  <c r="AO33" i="2"/>
  <c r="AD56" i="2"/>
  <c r="AM56" i="2"/>
  <c r="AO56" i="2"/>
  <c r="AH19" i="2"/>
  <c r="AI19" i="2"/>
  <c r="AN19" i="2"/>
  <c r="AP19" i="2"/>
  <c r="AM19" i="2"/>
  <c r="AO19" i="2"/>
  <c r="AH42" i="2"/>
  <c r="AI42" i="2"/>
  <c r="AM42" i="2"/>
  <c r="AO42" i="2"/>
  <c r="AN42" i="2"/>
  <c r="AP42" i="2"/>
  <c r="AH22" i="2"/>
  <c r="AI22" i="2"/>
  <c r="AM22" i="2"/>
  <c r="AO22" i="2"/>
  <c r="AN22" i="2"/>
  <c r="AP22" i="2"/>
  <c r="AH23" i="2"/>
  <c r="AI23" i="2"/>
  <c r="AN23" i="2"/>
  <c r="AP23" i="2"/>
  <c r="AM23" i="2"/>
  <c r="AO23" i="2"/>
  <c r="AH21" i="2"/>
  <c r="AI21" i="2"/>
  <c r="AM21" i="2"/>
  <c r="AO21" i="2"/>
  <c r="AN21" i="2"/>
  <c r="AP21" i="2"/>
  <c r="AH49" i="2"/>
  <c r="AI49" i="2"/>
  <c r="AM49" i="2"/>
  <c r="AO49" i="2"/>
  <c r="AN49" i="2"/>
  <c r="AP49" i="2"/>
  <c r="AH29" i="2"/>
  <c r="AI29" i="2"/>
  <c r="AN29" i="2"/>
  <c r="AP29" i="2"/>
  <c r="AM29" i="2"/>
  <c r="AO29" i="2"/>
  <c r="AH25" i="2"/>
  <c r="AI25" i="2"/>
  <c r="AM25" i="2"/>
  <c r="AO25" i="2"/>
  <c r="AN25" i="2"/>
  <c r="AP25" i="2"/>
  <c r="AH26" i="2"/>
  <c r="AI26" i="2"/>
  <c r="AM26" i="2"/>
  <c r="AO26" i="2"/>
  <c r="AN26" i="2"/>
  <c r="AP26" i="2"/>
  <c r="AH53" i="2"/>
  <c r="AI53" i="2"/>
  <c r="AM53" i="2"/>
  <c r="AO53" i="2"/>
  <c r="AN53" i="2"/>
  <c r="AP53" i="2"/>
  <c r="AH43" i="2"/>
  <c r="AI43" i="2"/>
  <c r="AM43" i="2"/>
  <c r="AO43" i="2"/>
  <c r="AN43" i="2"/>
  <c r="AP43" i="2"/>
  <c r="AH55" i="2"/>
  <c r="AI55" i="2"/>
  <c r="AN55" i="2"/>
  <c r="AP55" i="2"/>
  <c r="AM55" i="2"/>
  <c r="AO55" i="2"/>
  <c r="AH52" i="2"/>
  <c r="AI52" i="2"/>
  <c r="AN52" i="2"/>
  <c r="AP52" i="2"/>
  <c r="AM52" i="2"/>
  <c r="AO52" i="2"/>
  <c r="AH28" i="2"/>
  <c r="AI28" i="2"/>
  <c r="AM28" i="2"/>
  <c r="AO28" i="2"/>
  <c r="AN28" i="2"/>
  <c r="AP28" i="2"/>
  <c r="AF40" i="2"/>
  <c r="AF29" i="2"/>
  <c r="AF26" i="2"/>
  <c r="AS55" i="2"/>
  <c r="AF53" i="2"/>
  <c r="AF33" i="2"/>
  <c r="AD57" i="2"/>
  <c r="AF22" i="2"/>
  <c r="AF25" i="2"/>
  <c r="AD60" i="2"/>
  <c r="AF52" i="2"/>
  <c r="AF23" i="2"/>
  <c r="AG41" i="2"/>
  <c r="AB54" i="2"/>
  <c r="AC54" i="2"/>
  <c r="P54" i="2"/>
  <c r="AF24" i="2"/>
  <c r="AS24" i="2"/>
  <c r="AF39" i="2"/>
  <c r="AF17" i="2"/>
  <c r="AS17" i="2"/>
  <c r="AS54" i="2"/>
  <c r="AF54" i="2"/>
  <c r="AF57" i="2"/>
  <c r="AS57" i="2"/>
  <c r="AF49" i="2"/>
  <c r="AS56" i="2"/>
  <c r="AF56" i="2"/>
  <c r="AF35" i="2"/>
  <c r="AB35" i="2"/>
  <c r="AC35" i="2"/>
  <c r="AR17" i="3"/>
  <c r="AR66" i="3"/>
  <c r="AR38" i="3"/>
  <c r="AR69" i="3"/>
  <c r="AQ68" i="3"/>
  <c r="AR68" i="3"/>
  <c r="AR41" i="3"/>
  <c r="AR57" i="3"/>
  <c r="AR12" i="3"/>
  <c r="AR13" i="3"/>
  <c r="AQ11" i="3"/>
  <c r="AR11" i="3"/>
  <c r="AR70" i="3"/>
  <c r="AR40" i="3"/>
  <c r="AR19" i="3"/>
  <c r="AR16" i="3"/>
  <c r="AQ35" i="3"/>
  <c r="AR35" i="3"/>
  <c r="AQ67" i="3"/>
  <c r="AR67" i="3"/>
  <c r="AR71" i="3"/>
  <c r="AR42" i="3"/>
  <c r="AP44" i="3"/>
  <c r="AQ44" i="3"/>
  <c r="AO74" i="3"/>
  <c r="AP56" i="3"/>
  <c r="AQ56" i="3"/>
  <c r="AP36" i="3"/>
  <c r="AQ36" i="3"/>
  <c r="AE74" i="3"/>
  <c r="AP60" i="3"/>
  <c r="AF74" i="3"/>
  <c r="X8" i="1"/>
  <c r="V8" i="1"/>
  <c r="W8" i="1"/>
  <c r="X50" i="1"/>
  <c r="V50" i="1"/>
  <c r="W50" i="1"/>
  <c r="X37" i="1"/>
  <c r="V37" i="1"/>
  <c r="W37" i="1"/>
  <c r="AA37" i="1"/>
  <c r="V46" i="1"/>
  <c r="W46" i="1"/>
  <c r="X46" i="1"/>
  <c r="S54" i="1"/>
  <c r="V35" i="1"/>
  <c r="W35" i="1"/>
  <c r="X35" i="1"/>
  <c r="AN56" i="2"/>
  <c r="AP56" i="2"/>
  <c r="AH56" i="2"/>
  <c r="AI56" i="2"/>
  <c r="AD54" i="2"/>
  <c r="AN54" i="2"/>
  <c r="AP54" i="2"/>
  <c r="AH57" i="2"/>
  <c r="AI57" i="2"/>
  <c r="AM57" i="2"/>
  <c r="AO57" i="2"/>
  <c r="AN57" i="2"/>
  <c r="AP57" i="2"/>
  <c r="AH60" i="2"/>
  <c r="AI60" i="2"/>
  <c r="AM60" i="2"/>
  <c r="AO60" i="2"/>
  <c r="AN60" i="2"/>
  <c r="AP60" i="2"/>
  <c r="AF63" i="2"/>
  <c r="AD35" i="2"/>
  <c r="AR44" i="3"/>
  <c r="AR56" i="3"/>
  <c r="AR36" i="3"/>
  <c r="AP74" i="3"/>
  <c r="AQ60" i="3"/>
  <c r="AQ74" i="3"/>
  <c r="AA35" i="1"/>
  <c r="Y35" i="1"/>
  <c r="AC35" i="1"/>
  <c r="AM54" i="2"/>
  <c r="AO54" i="2"/>
  <c r="AH54" i="2"/>
  <c r="AI54" i="2"/>
  <c r="AH35" i="2"/>
  <c r="AI35" i="2"/>
  <c r="AN35" i="2"/>
  <c r="AP35" i="2"/>
  <c r="AM35" i="2"/>
  <c r="AO35" i="2"/>
  <c r="AR60" i="3"/>
  <c r="AR74" i="3"/>
  <c r="AO76" i="3"/>
  <c r="G96" i="9"/>
  <c r="AD27" i="2"/>
  <c r="AH27" i="2"/>
  <c r="AI27" i="2"/>
  <c r="AN27" i="2"/>
  <c r="AP27" i="2"/>
  <c r="AM27" i="2"/>
  <c r="AO27" i="2"/>
  <c r="AS27" i="2"/>
  <c r="AB31" i="2"/>
  <c r="AC31" i="2"/>
  <c r="AD31" i="2"/>
  <c r="AH31" i="2"/>
  <c r="AI31" i="2"/>
  <c r="AM31" i="2"/>
  <c r="AO31" i="2"/>
  <c r="AN31" i="2"/>
  <c r="AP31" i="2"/>
  <c r="AS31" i="2"/>
  <c r="G100" i="9"/>
  <c r="AB30" i="2"/>
  <c r="AC30" i="2"/>
  <c r="AD30" i="2"/>
  <c r="AH30" i="2"/>
  <c r="AI30" i="2"/>
  <c r="AM30" i="2"/>
  <c r="AO30" i="2"/>
  <c r="AN30" i="2"/>
  <c r="AP30" i="2"/>
  <c r="Z30" i="2"/>
  <c r="G99" i="9"/>
  <c r="AA63" i="2"/>
  <c r="P74" i="2"/>
  <c r="P71" i="2"/>
  <c r="P73" i="2"/>
  <c r="P72" i="2"/>
  <c r="AS30" i="2"/>
  <c r="AT62" i="2"/>
  <c r="AS62" i="2"/>
  <c r="AS63" i="2"/>
  <c r="AS64" i="2"/>
</calcChain>
</file>

<file path=xl/comments1.xml><?xml version="1.0" encoding="utf-8"?>
<comments xmlns="http://schemas.openxmlformats.org/spreadsheetml/2006/main">
  <authors>
    <author>pablo alvarez</author>
    <author>Microsoft Office User</author>
  </authors>
  <commentList>
    <comment ref="AA12" authorId="0">
      <text>
        <r>
          <rPr>
            <b/>
            <sz val="9"/>
            <color indexed="81"/>
            <rFont val="Tahoma"/>
            <family val="2"/>
          </rPr>
          <t>pablo alvarez:</t>
        </r>
        <r>
          <rPr>
            <sz val="9"/>
            <color indexed="81"/>
            <rFont val="Tahoma"/>
            <family val="2"/>
          </rPr>
          <t xml:space="preserve">
200uL -&gt; 50uL</t>
        </r>
      </text>
    </comment>
    <comment ref="F55" authorId="1">
      <text>
        <r>
          <rPr>
            <sz val="10"/>
            <color indexed="81"/>
            <rFont val="Calibri"/>
            <family val="2"/>
          </rPr>
          <t xml:space="preserve">Needed o achieve min. ng for linearity of each element
</t>
        </r>
      </text>
    </comment>
    <comment ref="O55" authorId="1">
      <text>
        <r>
          <rPr>
            <b/>
            <sz val="10"/>
            <color indexed="81"/>
            <rFont val="Calibri"/>
            <family val="2"/>
          </rPr>
          <t xml:space="preserve">Lower concentrations where also observed, but  re-concentration was not possible below this. </t>
        </r>
      </text>
    </comment>
    <comment ref="O62" authorId="1">
      <text>
        <r>
          <rPr>
            <b/>
            <sz val="10"/>
            <color indexed="81"/>
            <rFont val="Calibri"/>
            <family val="2"/>
          </rPr>
          <t>Situations requiring re-concentration of final sample. 
Pooled back-up (500uL) plus 100uL of non-used sample and concentrated to three replicas of 100uL each.</t>
        </r>
      </text>
    </comment>
  </commentList>
</comments>
</file>

<file path=xl/comments2.xml><?xml version="1.0" encoding="utf-8"?>
<comments xmlns="http://schemas.openxmlformats.org/spreadsheetml/2006/main">
  <authors>
    <author>pablo alvarez</author>
  </authors>
  <commentList>
    <comment ref="AA13" authorId="0">
      <text>
        <r>
          <rPr>
            <b/>
            <sz val="9"/>
            <color indexed="81"/>
            <rFont val="Tahoma"/>
            <family val="2"/>
          </rPr>
          <t>pablo alvarez: Only an estimate</t>
        </r>
        <r>
          <rPr>
            <sz val="9"/>
            <color indexed="81"/>
            <rFont val="Tahoma"/>
            <family val="2"/>
          </rPr>
          <t xml:space="preserve">
Need to update SD as this is forom detailed soils</t>
        </r>
      </text>
    </comment>
  </commentList>
</comments>
</file>

<file path=xl/comments3.xml><?xml version="1.0" encoding="utf-8"?>
<comments xmlns="http://schemas.openxmlformats.org/spreadsheetml/2006/main">
  <authors>
    <author>pablo alvarez</author>
  </authors>
  <commentList>
    <comment ref="G36" authorId="0">
      <text>
        <r>
          <rPr>
            <b/>
            <sz val="9"/>
            <color indexed="81"/>
            <rFont val="Tahoma"/>
            <family val="2"/>
          </rPr>
          <t>pablo alvarez:</t>
        </r>
        <r>
          <rPr>
            <sz val="9"/>
            <color indexed="81"/>
            <rFont val="Tahoma"/>
            <family val="2"/>
          </rPr>
          <t xml:space="preserve">
It is likely an error, so adopted the same value for : T-I-8-D3_est </t>
        </r>
      </text>
    </comment>
  </commentList>
</comments>
</file>

<file path=xl/comments4.xml><?xml version="1.0" encoding="utf-8"?>
<comments xmlns="http://schemas.openxmlformats.org/spreadsheetml/2006/main">
  <authors>
    <author>pablo alvarez</author>
  </authors>
  <commentList>
    <comment ref="T19" authorId="0">
      <text>
        <r>
          <rPr>
            <b/>
            <sz val="9"/>
            <color indexed="81"/>
            <rFont val="Tahoma"/>
            <family val="2"/>
          </rPr>
          <t>pablo alvarez:</t>
        </r>
        <r>
          <rPr>
            <sz val="9"/>
            <color indexed="81"/>
            <rFont val="Tahoma"/>
            <family val="2"/>
          </rPr>
          <t xml:space="preserve">
Not yet corrected to calibrated value</t>
        </r>
      </text>
    </comment>
  </commentList>
</comments>
</file>

<file path=xl/sharedStrings.xml><?xml version="1.0" encoding="utf-8"?>
<sst xmlns="http://schemas.openxmlformats.org/spreadsheetml/2006/main" count="2574" uniqueCount="830">
  <si>
    <t>Filename</t>
  </si>
  <si>
    <t>Calculated Amount (extract)</t>
  </si>
  <si>
    <t>Full scan [µg/L]</t>
  </si>
  <si>
    <t>AO_W5_1</t>
  </si>
  <si>
    <t>AW_N_2</t>
  </si>
  <si>
    <t>AW_N_7</t>
  </si>
  <si>
    <t>AW_N_8</t>
  </si>
  <si>
    <t>AW_N_9</t>
  </si>
  <si>
    <t>AW_S_2</t>
  </si>
  <si>
    <t>AW_S_3</t>
  </si>
  <si>
    <t>AW_S_7</t>
  </si>
  <si>
    <t>AW_S_8</t>
  </si>
  <si>
    <t>AW_S_9</t>
  </si>
  <si>
    <t>AW_T_2</t>
  </si>
  <si>
    <t>AW_T_3</t>
  </si>
  <si>
    <t>AW_T_7</t>
  </si>
  <si>
    <t>AW_T_8</t>
  </si>
  <si>
    <t>AW_N_1</t>
  </si>
  <si>
    <t>AW_N_4</t>
  </si>
  <si>
    <t>AW_N_5</t>
  </si>
  <si>
    <t>AW_N_6</t>
  </si>
  <si>
    <t>AW_S_1</t>
  </si>
  <si>
    <t>AW_S_4</t>
  </si>
  <si>
    <t>AW_S_5</t>
  </si>
  <si>
    <t>AW_S_6</t>
  </si>
  <si>
    <t>AW_T_1</t>
  </si>
  <si>
    <t>AW_T_4</t>
  </si>
  <si>
    <t>AW_T_5</t>
  </si>
  <si>
    <t>AW_T_6</t>
  </si>
  <si>
    <t>AW_N_3</t>
  </si>
  <si>
    <t>AO_W0_1</t>
  </si>
  <si>
    <t>AO_W1_1</t>
  </si>
  <si>
    <t>AO_W1_2</t>
  </si>
  <si>
    <t>AO_W2_1</t>
  </si>
  <si>
    <t>AO_W2_2</t>
  </si>
  <si>
    <t>AO_W3_1</t>
  </si>
  <si>
    <t>AO_W3_2</t>
  </si>
  <si>
    <t>AO_W3_3</t>
  </si>
  <si>
    <t>AO_W4_1</t>
  </si>
  <si>
    <t>AO_W10_1</t>
  </si>
  <si>
    <t>AO_W10_2</t>
  </si>
  <si>
    <t>AO_W10_3</t>
  </si>
  <si>
    <t>AO_W10_4</t>
  </si>
  <si>
    <t>AO_W10_5</t>
  </si>
  <si>
    <t>AO_W5_2</t>
  </si>
  <si>
    <t>AO_W6_1</t>
  </si>
  <si>
    <t>AO_W6_2</t>
  </si>
  <si>
    <t>AO_W6_3</t>
  </si>
  <si>
    <t>AO_W6_3_J+7</t>
  </si>
  <si>
    <t>AO_W6_4</t>
  </si>
  <si>
    <t>AO_W7_1</t>
  </si>
  <si>
    <t>AO_W8_1</t>
  </si>
  <si>
    <t>AO_W9_1</t>
  </si>
  <si>
    <t>AO_W9_2</t>
  </si>
  <si>
    <t>AO_W9_3</t>
  </si>
  <si>
    <t>AO_W9_4</t>
  </si>
  <si>
    <t>N_I_21_D3_est</t>
  </si>
  <si>
    <t>N_I_21_D3_ouest</t>
  </si>
  <si>
    <t>N_I_22_D20</t>
  </si>
  <si>
    <t>N_I_22_D3</t>
  </si>
  <si>
    <t>N_I_23_D20</t>
  </si>
  <si>
    <t>N_I_23_D3</t>
  </si>
  <si>
    <t>N_I_33_D20</t>
  </si>
  <si>
    <t>N_I_34_D3</t>
  </si>
  <si>
    <t>N_I_35_D3</t>
  </si>
  <si>
    <t>N_II_8_D3</t>
  </si>
  <si>
    <t>S_I_40_D20</t>
  </si>
  <si>
    <t>S_I_8_D20</t>
  </si>
  <si>
    <t>S_I_8_D3</t>
  </si>
  <si>
    <t>S_I_9_D20</t>
  </si>
  <si>
    <t>S_I_9_D3</t>
  </si>
  <si>
    <t>S_II_13_D3</t>
  </si>
  <si>
    <t>T_I_21_D3_est</t>
  </si>
  <si>
    <t>T_I_21_D3_ouest</t>
  </si>
  <si>
    <t>T_I_22_D3</t>
  </si>
  <si>
    <t>T_I_23_D3</t>
  </si>
  <si>
    <t>T_I_25_D3</t>
  </si>
  <si>
    <t>T_I_45_D3</t>
  </si>
  <si>
    <t>T_II_4_D3</t>
  </si>
  <si>
    <t>T_II_67_D3</t>
  </si>
  <si>
    <t>T_II_8_D3</t>
  </si>
  <si>
    <t>N_I_33_D3</t>
  </si>
  <si>
    <t>N_I_42_D3</t>
  </si>
  <si>
    <t>N_II_3_D3</t>
  </si>
  <si>
    <t>N_II_5_D3</t>
  </si>
  <si>
    <t>S_I_40_D3</t>
  </si>
  <si>
    <t>T_I_42_D3</t>
  </si>
  <si>
    <t>T_II_5_D3</t>
  </si>
  <si>
    <t>AFP_1_W0</t>
  </si>
  <si>
    <t>AFP_1_W1</t>
  </si>
  <si>
    <t>AFP_1_W2</t>
  </si>
  <si>
    <t>AFP_1_W3</t>
  </si>
  <si>
    <t>AFP_1_W4</t>
  </si>
  <si>
    <t>AFP_1_W5</t>
  </si>
  <si>
    <t>AFP_1_W6</t>
  </si>
  <si>
    <t>AFP_1_W7</t>
  </si>
  <si>
    <t>AFP_1_W8</t>
  </si>
  <si>
    <t>AFP_2_W1</t>
  </si>
  <si>
    <t>AFP_2_W2</t>
  </si>
  <si>
    <t>AFP_2_W3</t>
  </si>
  <si>
    <t>AFP_2_W5</t>
  </si>
  <si>
    <t>AFP_2_W6</t>
  </si>
  <si>
    <t>AFP_3_W3</t>
  </si>
  <si>
    <t>AFP_3_W6</t>
  </si>
  <si>
    <t>AFP_3_W6_J+7</t>
  </si>
  <si>
    <t>AFP_4_W6</t>
  </si>
  <si>
    <t>SIM 1 [µg/L]</t>
  </si>
  <si>
    <t>SIM 2 [µg/L]</t>
  </si>
  <si>
    <t>SIM 3 [µg/L]</t>
  </si>
  <si>
    <t>SIM average [µg/L]</t>
  </si>
  <si>
    <t>Volume SPE</t>
  </si>
  <si>
    <t>mL</t>
  </si>
  <si>
    <t>Check name</t>
  </si>
  <si>
    <t>Rendement</t>
  </si>
  <si>
    <t>Extract volume [µL]</t>
  </si>
  <si>
    <t>Concentration (sample)</t>
  </si>
  <si>
    <t>Extract volume [L]</t>
  </si>
  <si>
    <t>Mass of soil</t>
  </si>
  <si>
    <t>[g]</t>
  </si>
  <si>
    <t>AW_T_9</t>
  </si>
  <si>
    <t>Concentration in soil</t>
  </si>
  <si>
    <t>Δ(fs/SIM)</t>
  </si>
  <si>
    <t>%</t>
  </si>
  <si>
    <t xml:space="preserve"> fs µg/L</t>
  </si>
  <si>
    <t>SIM1 µg/L</t>
  </si>
  <si>
    <t>SIM2 µg/L</t>
  </si>
  <si>
    <t>SIM3 µg/L</t>
  </si>
  <si>
    <t>SIMavg µg/L</t>
  </si>
  <si>
    <t xml:space="preserve"> fs µg/g soil</t>
  </si>
  <si>
    <t>SIM1 µg/g soil</t>
  </si>
  <si>
    <t>SIM2 µg/g soil</t>
  </si>
  <si>
    <t>SIM3 µg/g soil</t>
  </si>
  <si>
    <t>Concentration in suspended solids</t>
  </si>
  <si>
    <t>Average mass of 1 filter</t>
  </si>
  <si>
    <t>g</t>
  </si>
  <si>
    <t>Nb of filters used for extraction</t>
  </si>
  <si>
    <t>0,7µm</t>
  </si>
  <si>
    <t>0,45µm</t>
  </si>
  <si>
    <t xml:space="preserve"> </t>
  </si>
  <si>
    <t>Week 0 (?),1</t>
  </si>
  <si>
    <t xml:space="preserve"> fs µg/g suspended solids</t>
  </si>
  <si>
    <t>SIM1 µg/g suspended solids</t>
  </si>
  <si>
    <t>SIM2 µg/g suspended solids</t>
  </si>
  <si>
    <t>SIM3 µg/g suspended solids</t>
  </si>
  <si>
    <t>SIMavg µg/g suspended solids</t>
  </si>
  <si>
    <t>MES average</t>
  </si>
  <si>
    <t>[mg/L]</t>
  </si>
  <si>
    <r>
      <t>m</t>
    </r>
    <r>
      <rPr>
        <b/>
        <vertAlign val="subscript"/>
        <sz val="10"/>
        <color theme="1"/>
        <rFont val="Calibri"/>
        <family val="2"/>
        <scheme val="minor"/>
      </rPr>
      <t>filters</t>
    </r>
    <r>
      <rPr>
        <b/>
        <sz val="10"/>
        <color theme="1"/>
        <rFont val="Calibri"/>
        <family val="2"/>
        <scheme val="minor"/>
      </rPr>
      <t xml:space="preserve"> </t>
    </r>
  </si>
  <si>
    <r>
      <t>m</t>
    </r>
    <r>
      <rPr>
        <b/>
        <vertAlign val="subscript"/>
        <sz val="10"/>
        <color theme="1"/>
        <rFont val="Calibri"/>
        <family val="2"/>
        <scheme val="minor"/>
      </rPr>
      <t>suspended solids</t>
    </r>
    <r>
      <rPr>
        <b/>
        <sz val="10"/>
        <color theme="1"/>
        <rFont val="Calibri"/>
        <family val="2"/>
        <scheme val="minor"/>
      </rPr>
      <t xml:space="preserve"> </t>
    </r>
  </si>
  <si>
    <t># C in S-met</t>
  </si>
  <si>
    <t xml:space="preserve">Extract concentration </t>
  </si>
  <si>
    <t>(mol/L)</t>
  </si>
  <si>
    <t>[ng]</t>
  </si>
  <si>
    <t>average</t>
  </si>
  <si>
    <t>SD</t>
  </si>
  <si>
    <t>min</t>
  </si>
  <si>
    <t>max</t>
  </si>
  <si>
    <t>µg/g = mg/kg</t>
  </si>
  <si>
    <t>wH2O avg</t>
  </si>
  <si>
    <t>[%]</t>
  </si>
  <si>
    <t xml:space="preserve"> fs µg/g dry soil</t>
  </si>
  <si>
    <t>SIM1 µg/g dry soil</t>
  </si>
  <si>
    <t>SIM2 µg/g dry soil</t>
  </si>
  <si>
    <t>SIM3 µg/g dry soil</t>
  </si>
  <si>
    <t>AW_S_10</t>
  </si>
  <si>
    <t>AW_S_11</t>
  </si>
  <si>
    <t>AW_S_12</t>
  </si>
  <si>
    <t>AW_S_13</t>
  </si>
  <si>
    <t>AW_S_14</t>
  </si>
  <si>
    <t>AW_S_15</t>
  </si>
  <si>
    <t>AW_N_10</t>
  </si>
  <si>
    <t>AW_N_11</t>
  </si>
  <si>
    <t>AW_N_12</t>
  </si>
  <si>
    <t>AW_N_13</t>
  </si>
  <si>
    <t>AW_N_14</t>
  </si>
  <si>
    <t>AW_N_15</t>
  </si>
  <si>
    <t>AW_T_10</t>
  </si>
  <si>
    <t>AW_T_11</t>
  </si>
  <si>
    <t>AW_T_12</t>
  </si>
  <si>
    <t>AW_T_13</t>
  </si>
  <si>
    <t>AW_T_14</t>
  </si>
  <si>
    <t>AW_T_15</t>
  </si>
  <si>
    <t>SIM codes</t>
  </si>
  <si>
    <t>Kopp -&gt; N-8</t>
  </si>
  <si>
    <t>Kopp -&gt; N-7</t>
  </si>
  <si>
    <t>Dutt -&gt; N-5</t>
  </si>
  <si>
    <t>Dutt -&gt; N-3</t>
  </si>
  <si>
    <t>Friess -&gt; N-2</t>
  </si>
  <si>
    <t>Speich -&gt; N-1</t>
  </si>
  <si>
    <t>Kopp -&gt; N-4</t>
  </si>
  <si>
    <t>Friess -&gt; S-11</t>
  </si>
  <si>
    <t>Mattis -&gt; S-12</t>
  </si>
  <si>
    <t>Burger -&gt; S-13</t>
  </si>
  <si>
    <t>Kopp -&gt; T-8</t>
  </si>
  <si>
    <t>Kopp -&gt; T-7</t>
  </si>
  <si>
    <t>Dutt -&gt; T-5</t>
  </si>
  <si>
    <t>Schmitt -&gt; T-10</t>
  </si>
  <si>
    <t>Kopp -&gt; T-4</t>
  </si>
  <si>
    <t>Friess -&gt; T-9</t>
  </si>
  <si>
    <t>N</t>
  </si>
  <si>
    <t>T</t>
  </si>
  <si>
    <t>S</t>
  </si>
  <si>
    <t>AO_W12_1</t>
  </si>
  <si>
    <t>AO_W12_2</t>
  </si>
  <si>
    <t>AO_W12_3</t>
  </si>
  <si>
    <t>AO_W12_4</t>
  </si>
  <si>
    <t>AO_W14_1</t>
  </si>
  <si>
    <t>AO_W16_1</t>
  </si>
  <si>
    <t>AO_W16_2</t>
  </si>
  <si>
    <t>AO_W16_3</t>
  </si>
  <si>
    <t>NA</t>
  </si>
  <si>
    <t>AO_W13_2</t>
  </si>
  <si>
    <t>Dilution should be x-times 
(not accounted for by GC-MS)</t>
  </si>
  <si>
    <t>N_II_4_D3</t>
  </si>
  <si>
    <t>N_III_2_D3</t>
  </si>
  <si>
    <t>N_III_7_D3</t>
  </si>
  <si>
    <t>N_IV_1_D3</t>
  </si>
  <si>
    <t>N_IV_5_D3</t>
  </si>
  <si>
    <t>T_I_8_D3</t>
  </si>
  <si>
    <t>T_I_7_D3</t>
  </si>
  <si>
    <t>T_I_5_D3</t>
  </si>
  <si>
    <t>T_I_10_D3</t>
  </si>
  <si>
    <t>T_I_4_D3</t>
  </si>
  <si>
    <t>T_I_9_D3</t>
  </si>
  <si>
    <t>N_I_8_D3</t>
  </si>
  <si>
    <t>N_I_7_D20</t>
  </si>
  <si>
    <t>N_I_7_D3</t>
  </si>
  <si>
    <t>N_I_5_D20</t>
  </si>
  <si>
    <t>N_I_5_D3</t>
  </si>
  <si>
    <t>N_I_3_D20</t>
  </si>
  <si>
    <t>N_I_3_D3</t>
  </si>
  <si>
    <t>N_I_2_D3</t>
  </si>
  <si>
    <t>N_I_1_D3</t>
  </si>
  <si>
    <t>N_I_4_D3</t>
  </si>
  <si>
    <t>S_III_11_D3</t>
  </si>
  <si>
    <t>S_III_13_D20</t>
  </si>
  <si>
    <t>T_IV_5_D3</t>
  </si>
  <si>
    <t>S_III_13_D3</t>
  </si>
  <si>
    <t>S_IV_11_D3</t>
  </si>
  <si>
    <t>T_III_5_D3</t>
  </si>
  <si>
    <t>T_III_8_D3</t>
  </si>
  <si>
    <t>T_IV_10_D3</t>
  </si>
  <si>
    <t>T_IV_9_D3</t>
  </si>
  <si>
    <t>AO_W11_2</t>
  </si>
  <si>
    <t>AO_W13_1</t>
  </si>
  <si>
    <t>AO_W13_3</t>
  </si>
  <si>
    <t>N_III_8_D3</t>
  </si>
  <si>
    <t>N_IV_2_D3</t>
  </si>
  <si>
    <t>N_IV_4_D3</t>
  </si>
  <si>
    <t>S_III_12_D3</t>
  </si>
  <si>
    <t>T_III_4_D3</t>
  </si>
  <si>
    <t>T_III_7_D3</t>
  </si>
  <si>
    <t>T_II_7_D3</t>
  </si>
  <si>
    <r>
      <t>T_III_8_D</t>
    </r>
    <r>
      <rPr>
        <sz val="11"/>
        <color rgb="FFFF0000"/>
        <rFont val="Calibri"/>
        <family val="2"/>
        <scheme val="minor"/>
      </rPr>
      <t>20</t>
    </r>
  </si>
  <si>
    <t>T_III_9_D3</t>
  </si>
  <si>
    <t>T_X_9_D3</t>
  </si>
  <si>
    <t>&lt;LQ</t>
  </si>
  <si>
    <t>N_II_7_D3</t>
  </si>
  <si>
    <t>N_IV_3_D3</t>
  </si>
  <si>
    <t>N_IV_8_D3</t>
  </si>
  <si>
    <t>S_I_11_D20</t>
  </si>
  <si>
    <t>S_I_11_D3</t>
  </si>
  <si>
    <t>S_I_12_D20</t>
  </si>
  <si>
    <t>S_I_12_D3</t>
  </si>
  <si>
    <t>S_I_13_D20</t>
  </si>
  <si>
    <t>S_I_13_D3</t>
  </si>
  <si>
    <t>S_IV_12_D3</t>
  </si>
  <si>
    <t>S_IV_13_D3</t>
  </si>
  <si>
    <t>T_I_8_D3_est</t>
  </si>
  <si>
    <t>T_IV_4_D3</t>
  </si>
  <si>
    <t>T_IV_7_D3</t>
  </si>
  <si>
    <t>T_IV_8_D3</t>
  </si>
  <si>
    <t>T_X_10_D3</t>
  </si>
  <si>
    <t>N_I_8_D3_est</t>
  </si>
  <si>
    <t>Error result:</t>
  </si>
  <si>
    <t>I</t>
  </si>
  <si>
    <t>D3</t>
  </si>
  <si>
    <t>D20</t>
  </si>
  <si>
    <t>II</t>
  </si>
  <si>
    <t>III</t>
  </si>
  <si>
    <t>IV</t>
  </si>
  <si>
    <t>X</t>
  </si>
  <si>
    <t>N_II_1_D3</t>
  </si>
  <si>
    <t>N_II_2_D3</t>
  </si>
  <si>
    <t>1</t>
  </si>
  <si>
    <t>2</t>
  </si>
  <si>
    <t>4</t>
  </si>
  <si>
    <t>5</t>
  </si>
  <si>
    <t>3</t>
  </si>
  <si>
    <t>N_III_3_D3</t>
  </si>
  <si>
    <t>N_III_4_D3</t>
  </si>
  <si>
    <t>N_III_5_D3</t>
  </si>
  <si>
    <t>N_IV_7_D3</t>
  </si>
  <si>
    <t>7</t>
  </si>
  <si>
    <t>AO_W11_1</t>
  </si>
  <si>
    <t>AO_W11_3</t>
  </si>
  <si>
    <t>AO_W15_1</t>
  </si>
  <si>
    <t xml:space="preserve">Talweg: </t>
  </si>
  <si>
    <t>Mme Schmitt stated that she applied on 25.05.2016,</t>
  </si>
  <si>
    <t>The spike according to her dates should have been seen on Week 9 (31.05.2015), not Week 10 (07.06.2016) -&gt; Ta;lweg Week 9 is an IMPORTANT SAMPLE!!! Coincides with larger Water Concentrations too!!</t>
  </si>
  <si>
    <t>W0</t>
  </si>
  <si>
    <t>Type</t>
  </si>
  <si>
    <t>W1</t>
  </si>
  <si>
    <t>W2</t>
  </si>
  <si>
    <t>W3</t>
  </si>
  <si>
    <t>W4</t>
  </si>
  <si>
    <t>W5</t>
  </si>
  <si>
    <t>W6</t>
  </si>
  <si>
    <t>W7</t>
  </si>
  <si>
    <t>W8</t>
  </si>
  <si>
    <t>W9</t>
  </si>
  <si>
    <t>W10</t>
  </si>
  <si>
    <t>W11</t>
  </si>
  <si>
    <t>W12</t>
  </si>
  <si>
    <t>W13</t>
  </si>
  <si>
    <t>W14</t>
  </si>
  <si>
    <t>W15</t>
  </si>
  <si>
    <t>Remarks</t>
  </si>
  <si>
    <t>SD_soilConc</t>
  </si>
  <si>
    <t>Not found / Not extracted</t>
  </si>
  <si>
    <t>Extracted / Not found</t>
  </si>
  <si>
    <t>ID1</t>
  </si>
  <si>
    <t>ID2</t>
  </si>
  <si>
    <t>ID3</t>
  </si>
  <si>
    <t>ID4</t>
  </si>
  <si>
    <t>Mass of soil [g]</t>
  </si>
  <si>
    <t>wH2O avg [%]</t>
  </si>
  <si>
    <t>Concentration [µg/g dry soil]</t>
  </si>
  <si>
    <t>AFP-W0-1</t>
  </si>
  <si>
    <t>AFP-W1-1</t>
  </si>
  <si>
    <t>AFP-W1-2</t>
  </si>
  <si>
    <t>AFP-W2-1</t>
  </si>
  <si>
    <t>AFP-W2-2</t>
  </si>
  <si>
    <t>AFP-W3-1</t>
  </si>
  <si>
    <t>AFP-W3-2</t>
  </si>
  <si>
    <t>AFP-W3-3</t>
  </si>
  <si>
    <t>AFP-W4-1</t>
  </si>
  <si>
    <t>AFP-W5-1</t>
  </si>
  <si>
    <t>AFP-W5-2</t>
  </si>
  <si>
    <t>AFP-W6-1</t>
  </si>
  <si>
    <t>AFP-W6-2</t>
  </si>
  <si>
    <t>AFP-W6-3</t>
  </si>
  <si>
    <t>AFP-W6-4</t>
  </si>
  <si>
    <t>AFP-W7-1</t>
  </si>
  <si>
    <t>AFP-W6-3 J+7</t>
  </si>
  <si>
    <t>AFP-W8-1</t>
  </si>
  <si>
    <t>AFP-W9-1</t>
  </si>
  <si>
    <t>AFP-W9-2</t>
  </si>
  <si>
    <t>AFP-W9-3</t>
  </si>
  <si>
    <t>AFP-W9-4</t>
  </si>
  <si>
    <t>AFP-W10-1</t>
  </si>
  <si>
    <t>AFP-W10-2</t>
  </si>
  <si>
    <t>AFP-W10-3</t>
  </si>
  <si>
    <t>AFP-W10-4</t>
  </si>
  <si>
    <t>AFP-W10-5</t>
  </si>
  <si>
    <t>AFP-W11-1</t>
  </si>
  <si>
    <t>AFP-W11-2</t>
  </si>
  <si>
    <t>AFP-W11-3</t>
  </si>
  <si>
    <t>AFP-W12-1</t>
  </si>
  <si>
    <t>AFP-W12-2</t>
  </si>
  <si>
    <t>AFP-W12-3</t>
  </si>
  <si>
    <t>AFP-W12-4</t>
  </si>
  <si>
    <t>AFP-W13-1</t>
  </si>
  <si>
    <t>AFP-W13-2</t>
  </si>
  <si>
    <t>AFP-W13-3</t>
  </si>
  <si>
    <t>AFP-W14-1</t>
  </si>
  <si>
    <t>AFP-W15-1</t>
  </si>
  <si>
    <t>AFP-W16-1</t>
  </si>
  <si>
    <t>AFP-W16-2</t>
  </si>
  <si>
    <t>AFP-W16-3</t>
  </si>
  <si>
    <t>AO</t>
  </si>
  <si>
    <t>J+7</t>
  </si>
  <si>
    <t>W16</t>
  </si>
  <si>
    <t>AFP</t>
  </si>
  <si>
    <t xml:space="preserve">3 </t>
  </si>
  <si>
    <t>nf</t>
  </si>
  <si>
    <t>AW</t>
  </si>
  <si>
    <t>Outlet</t>
  </si>
  <si>
    <t>Filter</t>
  </si>
  <si>
    <t>Composite</t>
  </si>
  <si>
    <t>Detailed</t>
  </si>
  <si>
    <t>Concentration</t>
  </si>
  <si>
    <t>Sample.Name</t>
  </si>
  <si>
    <t>AO_W17_1</t>
  </si>
  <si>
    <t>AO_W17_2A</t>
  </si>
  <si>
    <t>AO_W17_2B</t>
  </si>
  <si>
    <t>not found for SIM</t>
  </si>
  <si>
    <t>Wet or dry?</t>
  </si>
  <si>
    <t>HIGH: 2016.10.27_filtersProcessed_clean_linear_10-100</t>
  </si>
  <si>
    <t>Assumed, not real!! Awaiting for GC-MS</t>
  </si>
  <si>
    <t>MES.sd</t>
  </si>
  <si>
    <t>MES.mg.L</t>
  </si>
  <si>
    <t>Conc.Solids.ug/gMES</t>
  </si>
  <si>
    <t>AO-W0-1</t>
  </si>
  <si>
    <t>AO-W1-1</t>
  </si>
  <si>
    <t>AO-W1-2</t>
  </si>
  <si>
    <t>AO-W2-1</t>
  </si>
  <si>
    <t>AO-W2-2</t>
  </si>
  <si>
    <t>AO-W3-1</t>
  </si>
  <si>
    <t>AO-W3-2</t>
  </si>
  <si>
    <t>AO-W3-3</t>
  </si>
  <si>
    <t>AO-W4-1</t>
  </si>
  <si>
    <t>AO-W5-1</t>
  </si>
  <si>
    <t>AO-W5-2</t>
  </si>
  <si>
    <t>AO-W6-1</t>
  </si>
  <si>
    <t>AO-W6-2</t>
  </si>
  <si>
    <t>AO-W6-3</t>
  </si>
  <si>
    <t>AO-W6-4</t>
  </si>
  <si>
    <t>AO-W7-1</t>
  </si>
  <si>
    <t>AO-W8-1</t>
  </si>
  <si>
    <t>AO-W9-1</t>
  </si>
  <si>
    <t>AO-W9-2</t>
  </si>
  <si>
    <t>AO-W9-3</t>
  </si>
  <si>
    <t>AO-W9-4</t>
  </si>
  <si>
    <t>AO-W10-1</t>
  </si>
  <si>
    <t>AO-W10-2</t>
  </si>
  <si>
    <t>AO-W10-3</t>
  </si>
  <si>
    <t>AO-W10-4</t>
  </si>
  <si>
    <t>AO-W10-5</t>
  </si>
  <si>
    <t>AO-W11-1</t>
  </si>
  <si>
    <t>AO-W11-2</t>
  </si>
  <si>
    <t>AO-W11-3</t>
  </si>
  <si>
    <t>AO-W12-1</t>
  </si>
  <si>
    <t>AO-W12-2</t>
  </si>
  <si>
    <t>AO-W12-3</t>
  </si>
  <si>
    <t>AO-W12-4</t>
  </si>
  <si>
    <t>AO-W13-1</t>
  </si>
  <si>
    <t>AO-W13-2</t>
  </si>
  <si>
    <t>AO-W13-3</t>
  </si>
  <si>
    <t>AO-W14-1</t>
  </si>
  <si>
    <t>AO-W15-1</t>
  </si>
  <si>
    <t>AO-W6-3 J+6</t>
  </si>
  <si>
    <t>MO.mg.L</t>
  </si>
  <si>
    <t>Date Sampled</t>
  </si>
  <si>
    <t>Conc.mug/g dry soil</t>
  </si>
  <si>
    <t>Conc.ComSoil.SD</t>
  </si>
  <si>
    <t>Mass (N) (g / mol)</t>
  </si>
  <si>
    <t>m (N)</t>
  </si>
  <si>
    <t>Median SD</t>
  </si>
  <si>
    <t>SD µg/g suspended solids</t>
  </si>
  <si>
    <t>Conc.Solids.ug/gMES.SD</t>
  </si>
  <si>
    <t>Conc.Solids.ug/L.MES</t>
  </si>
  <si>
    <t>SD conc. in suspended solids</t>
  </si>
  <si>
    <t>SIM 4 [µg/L]</t>
  </si>
  <si>
    <t>SIM 5 [µg/L]</t>
  </si>
  <si>
    <t>SIM 6 [µg/L]</t>
  </si>
  <si>
    <t>Values are correct, but no replicas where done in GC-MS</t>
  </si>
  <si>
    <t>red :</t>
  </si>
  <si>
    <t>AW_N_0</t>
  </si>
  <si>
    <t>AW_S_0</t>
  </si>
  <si>
    <t>AW_T_0</t>
  </si>
  <si>
    <t>SIM 7[µg/L]</t>
  </si>
  <si>
    <t>SIM 8[µg/L]</t>
  </si>
  <si>
    <t>SIM 9[µg/L]</t>
  </si>
  <si>
    <t>Mean uncertainty</t>
  </si>
  <si>
    <t>Estimation after 
Re-concentration 
( &gt; x4 ) and 4 uL inj.</t>
  </si>
  <si>
    <t>Sim4</t>
  </si>
  <si>
    <t>Sim5</t>
  </si>
  <si>
    <t>Sim6</t>
  </si>
  <si>
    <t>Sim7</t>
  </si>
  <si>
    <t>Sim8</t>
  </si>
  <si>
    <t xml:space="preserve">mass/3uL ( C)
(before reconcentration, SIM) </t>
  </si>
  <si>
    <t xml:space="preserve">mass/3uL ( C)
(before reconcentration, FS) </t>
  </si>
  <si>
    <t>Unreliable</t>
  </si>
  <si>
    <t>Need x20</t>
  </si>
  <si>
    <t>Need x30</t>
  </si>
  <si>
    <t>Reasonable</t>
  </si>
  <si>
    <t>Need x10</t>
  </si>
  <si>
    <t>Need x200</t>
  </si>
  <si>
    <t>Need x2</t>
  </si>
  <si>
    <t>Need x5</t>
  </si>
  <si>
    <t>Key!</t>
  </si>
  <si>
    <t>New run CF</t>
  </si>
  <si>
    <t>Minimum Concent. ( C )</t>
  </si>
  <si>
    <t>Minimum Concent. ( N )</t>
  </si>
  <si>
    <t>Minimum Concent. ( Cl )</t>
  </si>
  <si>
    <t># N/Cl in S-met.</t>
  </si>
  <si>
    <t>M (S-met) g/mol</t>
  </si>
  <si>
    <t>M( C) g/mol</t>
  </si>
  <si>
    <t>vol inj (µL)</t>
  </si>
  <si>
    <t>Mass(C) g/mol</t>
  </si>
  <si>
    <t>Mass (Cl) (g/mol)</t>
  </si>
  <si>
    <t>Factor</t>
  </si>
  <si>
    <t>Element</t>
  </si>
  <si>
    <t>Factor rel to C</t>
  </si>
  <si>
    <t>With [ml]</t>
  </si>
  <si>
    <t>Need [ug/L]</t>
  </si>
  <si>
    <t>Concentration (Env. sample)</t>
  </si>
  <si>
    <t>Chlorine</t>
  </si>
  <si>
    <t>Nitrogen</t>
  </si>
  <si>
    <t>Carbon</t>
  </si>
  <si>
    <t>Extract Conc.</t>
  </si>
  <si>
    <t>Conc. Factor</t>
  </si>
  <si>
    <t>Need x2.5</t>
  </si>
  <si>
    <t>Extract vol. [L]</t>
  </si>
  <si>
    <t>3 samples of 100uL</t>
  </si>
  <si>
    <t>Needed ng C</t>
  </si>
  <si>
    <t>Needed ng …</t>
  </si>
  <si>
    <t>&lt;- Carbon</t>
  </si>
  <si>
    <t>Nitrogen -&gt;</t>
  </si>
  <si>
    <t>Chlorine -&gt;</t>
  </si>
  <si>
    <t xml:space="preserve">ug/L Needed </t>
  </si>
  <si>
    <t>Low-end</t>
  </si>
  <si>
    <t>High-end</t>
  </si>
  <si>
    <t>10 samples of 100uL</t>
  </si>
  <si>
    <t>Minimum Concent. ( H )</t>
  </si>
  <si>
    <t xml:space="preserve">Hydrogen -&gt; </t>
  </si>
  <si>
    <t>Mass (H) (g/mol)</t>
  </si>
  <si>
    <t>Hydrogen</t>
  </si>
  <si>
    <t xml:space="preserve"> -</t>
  </si>
  <si>
    <t>SIM/fs</t>
  </si>
  <si>
    <t>SD error %</t>
  </si>
  <si>
    <t>Needed re-concentration factor</t>
  </si>
  <si>
    <t>Round Up</t>
  </si>
  <si>
    <t>m ( C) 
FS</t>
  </si>
  <si>
    <t>m ©
SIM</t>
  </si>
  <si>
    <t>Amount in Soil needed</t>
  </si>
  <si>
    <t>Soil g</t>
  </si>
  <si>
    <t>wH20 %</t>
  </si>
  <si>
    <t>Extract ug/L</t>
  </si>
  <si>
    <t>Re-concentrate x2</t>
  </si>
  <si>
    <t>vol inj (early), µL</t>
  </si>
  <si>
    <t>mug/dry soil</t>
  </si>
  <si>
    <t># H in S-met</t>
  </si>
  <si>
    <t>Amount of soil needed</t>
  </si>
  <si>
    <t>Variances</t>
  </si>
  <si>
    <t>n</t>
  </si>
  <si>
    <t>Cumul SD</t>
  </si>
  <si>
    <t>Cumil Variance</t>
  </si>
  <si>
    <t>% Error</t>
  </si>
  <si>
    <t>Mean %Error</t>
  </si>
  <si>
    <t>Estimation after 
Re-concentration 
( xFactor ) and 4 uL inj.</t>
  </si>
  <si>
    <t>Achieved CF r1</t>
  </si>
  <si>
    <t>CF Cycle 2</t>
  </si>
  <si>
    <t>Result Makes sense?</t>
  </si>
  <si>
    <t>Cf1</t>
  </si>
  <si>
    <t>Conc.CF1</t>
  </si>
  <si>
    <t>Conc.CF2</t>
  </si>
  <si>
    <t>Cf2</t>
  </si>
  <si>
    <t>Do CF1</t>
  </si>
  <si>
    <t>Do CF2</t>
  </si>
  <si>
    <t>Cycle 1</t>
  </si>
  <si>
    <t>Cycle 2</t>
  </si>
  <si>
    <t>Cycle 3</t>
  </si>
  <si>
    <t>m ( C )
SIM</t>
  </si>
  <si>
    <t>&lt; 3ng</t>
  </si>
  <si>
    <t>&lt;10ng</t>
  </si>
  <si>
    <t>To concentrate</t>
  </si>
  <si>
    <t>Median 1+day (II)</t>
  </si>
  <si>
    <t>Mean 1+day(II)</t>
  </si>
  <si>
    <t>vol inj (post-reconc), uL</t>
  </si>
  <si>
    <t>400 -&gt; 70uL</t>
  </si>
  <si>
    <t>300 -&gt; 100uL</t>
  </si>
  <si>
    <t>Conc.CF3</t>
  </si>
  <si>
    <t>Cf3</t>
  </si>
  <si>
    <t>IRMS Days</t>
  </si>
  <si>
    <t>Cf4</t>
  </si>
  <si>
    <t>Conc.CF4</t>
  </si>
  <si>
    <t>400 -&gt; 50uL</t>
  </si>
  <si>
    <t>500-&gt;30uL</t>
  </si>
  <si>
    <t>Do CF3</t>
  </si>
  <si>
    <t>Do CF4</t>
  </si>
  <si>
    <t>Mean SIM/fs error</t>
  </si>
  <si>
    <t>SD SIM/fs error</t>
  </si>
  <si>
    <t>Soil Density (ρ)  =</t>
  </si>
  <si>
    <t>g/m3</t>
  </si>
  <si>
    <t>Applications</t>
  </si>
  <si>
    <t>Background</t>
  </si>
  <si>
    <t>Color: Not on transect!</t>
  </si>
  <si>
    <t>Farmer</t>
  </si>
  <si>
    <t>Crop</t>
  </si>
  <si>
    <t>Plot ID</t>
  </si>
  <si>
    <t>Area [m2]</t>
  </si>
  <si>
    <t>Date</t>
  </si>
  <si>
    <t>Prod.</t>
  </si>
  <si>
    <t>Prod. Conc. [g/L]</t>
  </si>
  <si>
    <t>Area[Ha]</t>
  </si>
  <si>
    <t>Dose [L/Ha]</t>
  </si>
  <si>
    <t>App. Mass [g]</t>
  </si>
  <si>
    <t>$\delta$</t>
  </si>
  <si>
    <t>App.Mass Fraction</t>
  </si>
  <si>
    <r>
      <t>Backgr. Conc [$</t>
    </r>
    <r>
      <rPr>
        <sz val="11"/>
        <color theme="1"/>
        <rFont val="Calibri"/>
        <family val="2"/>
      </rPr>
      <t>\mu$ g/g dry soil]</t>
    </r>
  </si>
  <si>
    <t>Area [$m^2$]</t>
  </si>
  <si>
    <t>Backgr. Mass [g]</t>
  </si>
  <si>
    <t>Backgr.  $\delta$</t>
  </si>
  <si>
    <t>Backgr.Mass Fraction</t>
  </si>
  <si>
    <t>Tot mass</t>
  </si>
  <si>
    <t>Remaining as % of Total</t>
  </si>
  <si>
    <t>Applications x4</t>
  </si>
  <si>
    <t>Plot Code</t>
  </si>
  <si>
    <t>Associated Area (m2)</t>
  </si>
  <si>
    <t>App.Date</t>
  </si>
  <si>
    <t>App.Mass.[g]</t>
  </si>
  <si>
    <t>Initial Plot 
Soil Conc [ug/g soil]</t>
  </si>
  <si>
    <t>Initial Composite Conc.</t>
  </si>
  <si>
    <t>Speich</t>
  </si>
  <si>
    <t>Corn</t>
  </si>
  <si>
    <t>N-1</t>
  </si>
  <si>
    <t>Friess</t>
  </si>
  <si>
    <t>Beet</t>
  </si>
  <si>
    <t>N-2</t>
  </si>
  <si>
    <t>MG</t>
  </si>
  <si>
    <t>(summed on the 25th, as no exact date)</t>
  </si>
  <si>
    <t>Dutt</t>
  </si>
  <si>
    <t>N-3</t>
  </si>
  <si>
    <t>North</t>
  </si>
  <si>
    <t>Kopp</t>
  </si>
  <si>
    <t>N-4</t>
  </si>
  <si>
    <t>Talweg</t>
  </si>
  <si>
    <t>(added on: 13th)</t>
  </si>
  <si>
    <t>N-5</t>
  </si>
  <si>
    <t>South</t>
  </si>
  <si>
    <t>N-7</t>
  </si>
  <si>
    <t>Total m2</t>
  </si>
  <si>
    <t>N-8</t>
  </si>
  <si>
    <t>Mahler</t>
  </si>
  <si>
    <t>N-19</t>
  </si>
  <si>
    <t>Total</t>
  </si>
  <si>
    <t>T-4</t>
  </si>
  <si>
    <t>T-5</t>
  </si>
  <si>
    <t>T-7</t>
  </si>
  <si>
    <t>T-8</t>
  </si>
  <si>
    <t>T-9</t>
  </si>
  <si>
    <t>Schmitt</t>
  </si>
  <si>
    <t>T-10</t>
  </si>
  <si>
    <t>DG</t>
  </si>
  <si>
    <t>Burger</t>
  </si>
  <si>
    <t>T-17</t>
  </si>
  <si>
    <t>T-43</t>
  </si>
  <si>
    <t>S-11</t>
  </si>
  <si>
    <t>Mathis</t>
  </si>
  <si>
    <t>S12</t>
  </si>
  <si>
    <t>S-13</t>
  </si>
  <si>
    <t>S-15</t>
  </si>
  <si>
    <t>Background [C]</t>
  </si>
  <si>
    <t>Area</t>
  </si>
  <si>
    <t>Areas touching Transect</t>
  </si>
  <si>
    <t>S-70</t>
  </si>
  <si>
    <t xml:space="preserve">Area not measured, but relevant, percent :  </t>
  </si>
  <si>
    <t>Average</t>
  </si>
  <si>
    <t>**Total Mass [g]**</t>
  </si>
  <si>
    <t>**\delta_{bulk_{app}}**</t>
  </si>
  <si>
    <t>**\delta_{bulk_{res}}**</t>
  </si>
  <si>
    <t>Application Signatures</t>
  </si>
  <si>
    <t>Transect Median (ommitting application plots and likely contamination)</t>
  </si>
  <si>
    <t>CO2 Calibration Correction</t>
  </si>
  <si>
    <t>Transect Median</t>
  </si>
  <si>
    <t>10/10/16</t>
  </si>
  <si>
    <t>Burger_Cuve_DF1-2.dxf</t>
  </si>
  <si>
    <t>Burger_Cuve_DF1-3.dxf</t>
  </si>
  <si>
    <t>Burger_Cuve_DF1-3_.dxf</t>
  </si>
  <si>
    <t>Kopp_Cuve_DF1-1_.dxf</t>
  </si>
  <si>
    <t>Kopp_Cuve_DF1-2_.dxf</t>
  </si>
  <si>
    <t>To determine background levels, a detailed campaign was conducted on 29.03.2016. Unfortunately, one farmer had applied 9 days in advance and a second farmer refusing to provide information also is likely to have applied a few days before this sampling campaign took place.</t>
  </si>
  <si>
    <t>Kopp_Cuve_DF1-3_.dxf</t>
  </si>
  <si>
    <t>Ave1</t>
  </si>
  <si>
    <t>Cuve ave Burger</t>
  </si>
  <si>
    <t xml:space="preserve">Based on the analytical results it is likely that cross contamination occurred in the North transect in a westerly direction, as concentrations in the two neighbouring plots are significantly higher to the catchment's background average.  Therefore the median background concentration for this Transect was assumed for these three plots. </t>
  </si>
  <si>
    <t>10/11/16</t>
  </si>
  <si>
    <t>Burger_Cuve_DF1-11_.dxf</t>
  </si>
  <si>
    <t>Ave2</t>
  </si>
  <si>
    <t>For the South transect, the background concentrations could not be determined for two out of three plots. Therefore the background concentrations in the surface were assumed to be equivalent to concentrations found at 20cm depth.</t>
  </si>
  <si>
    <t>Burger_Cuve_DF1-22_.dxf</t>
  </si>
  <si>
    <t>For plots where no sampling conducted, the median value for its nearest transect was assumed.</t>
  </si>
  <si>
    <t>Burger_Cuve_DF1-33_.dxf</t>
  </si>
  <si>
    <t>Cuve ave Kopp</t>
  </si>
  <si>
    <t>Kopp_Cuve_DF1-11_.dxf</t>
  </si>
  <si>
    <t xml:space="preserve">Background concentrations were too low to accurately determine isotope signatures in these soils, therefore a theoretical maximum was assumed.  </t>
  </si>
  <si>
    <t>Kopp_Cuve_DF1-22_.dxf</t>
  </si>
  <si>
    <t>The theoretical maximum was computed based on Streitwieser Semiclassical Limits. For a degraded fraction of 0.95, the expected isotope signature based on Streitwieser Semiclassical Limits was -25.65.</t>
  </si>
  <si>
    <t>Kopp_Cuve_DF1-33_.dxf</t>
  </si>
  <si>
    <t>Cuve ave</t>
  </si>
  <si>
    <t>Sampling date:</t>
  </si>
  <si>
    <t>29.03.2010</t>
  </si>
  <si>
    <t>C: likely contamination; T.M.: transect median; 20cm: Conc. at 20cm depth assumed</t>
  </si>
  <si>
    <t>06/09/16</t>
  </si>
  <si>
    <t>Mercantor_Gold_pur_50mgL-1_.dxf</t>
  </si>
  <si>
    <t>Obs.  [µg/g dry soil]</t>
  </si>
  <si>
    <t xml:space="preserve">Application </t>
  </si>
  <si>
    <t xml:space="preserve">Correction </t>
  </si>
  <si>
    <t>Corr. [µg/g dry soil]</t>
  </si>
  <si>
    <t>Area [m^2]</t>
  </si>
  <si>
    <t>Maximum theoretical isotope signature</t>
  </si>
  <si>
    <t>06/10/16</t>
  </si>
  <si>
    <t>Mercantor_Gold_pur_50mgL-2_.dxf</t>
  </si>
  <si>
    <t>Pure</t>
  </si>
  <si>
    <t>Initial signature</t>
  </si>
  <si>
    <t>10/03/16</t>
  </si>
  <si>
    <t>PureMerc-T1_.dxf</t>
  </si>
  <si>
    <t>T.M.</t>
  </si>
  <si>
    <t>PureMerc-T2_.dxf</t>
  </si>
  <si>
    <t>C</t>
  </si>
  <si>
    <t>20cm</t>
  </si>
  <si>
    <t>PureMerc-T3_.dxf</t>
  </si>
  <si>
    <t>Pure ave</t>
  </si>
  <si>
    <t>Application Concentrations</t>
  </si>
  <si>
    <t xml:space="preserve"> = g/Ha</t>
  </si>
  <si>
    <t xml:space="preserve"> = g/m2</t>
  </si>
  <si>
    <t xml:space="preserve"> / Density</t>
  </si>
  <si>
    <t>/ cm soil &amp; convert to cm</t>
  </si>
  <si>
    <t>Convert to ug/g</t>
  </si>
  <si>
    <t>Beets (Technical sheet)</t>
  </si>
  <si>
    <t>Corn (Technial sheet)</t>
  </si>
  <si>
    <t>Mme. Schmitt</t>
  </si>
  <si>
    <t>S-12</t>
  </si>
  <si>
    <t>Unknown</t>
  </si>
  <si>
    <t>Tn-9 (?)</t>
  </si>
  <si>
    <t>Tn-11</t>
  </si>
  <si>
    <t>(43?) Talweg?</t>
  </si>
  <si>
    <t>Sn-14(70?)</t>
  </si>
  <si>
    <t>Measured Concentration [µg/g dry soil]</t>
  </si>
  <si>
    <t>Application Date</t>
  </si>
  <si>
    <t>Correction used</t>
  </si>
  <si>
    <t>Corrected background Concentration
[µg/g dry soil]</t>
  </si>
  <si>
    <t>Half-rate (k)</t>
  </si>
  <si>
    <t>Application!</t>
  </si>
  <si>
    <t>Contamination!</t>
  </si>
  <si>
    <t>Observed</t>
  </si>
  <si>
    <t>Isotopes</t>
  </si>
  <si>
    <t>Transect</t>
  </si>
  <si>
    <t>Plot Numbers</t>
  </si>
  <si>
    <t>No of Comp Smps</t>
  </si>
  <si>
    <t>Bulk Conc.</t>
  </si>
  <si>
    <t>No of Samples</t>
  </si>
  <si>
    <t>Bulk Isotope</t>
  </si>
  <si>
    <t>Week</t>
  </si>
  <si>
    <t>Sample Fraction</t>
  </si>
  <si>
    <t>Similar to T-10</t>
  </si>
  <si>
    <t>Meas. Conc [ug/g dry soil]</t>
  </si>
  <si>
    <t>Appx. Conc [ug/g dry soil]</t>
  </si>
  <si>
    <t>na</t>
  </si>
  <si>
    <t>Comp</t>
  </si>
  <si>
    <t>Comp+D3</t>
  </si>
  <si>
    <t>!Dutt!</t>
  </si>
  <si>
    <t>Same as T-9</t>
  </si>
  <si>
    <t xml:space="preserve">Similar to S-13 </t>
  </si>
  <si>
    <t>Same as S-11</t>
  </si>
  <si>
    <t>Same as N-1</t>
  </si>
  <si>
    <t>Plot N5 &amp; N3</t>
  </si>
  <si>
    <t xml:space="preserve">Mean: </t>
  </si>
  <si>
    <t>SD:</t>
  </si>
  <si>
    <t>Normal distribution for Kopp, Plot N5</t>
  </si>
  <si>
    <t>***Speich did not confirm an application. However, a mid-season spike is observed on May 10th. Because this was corn (as with Schmitt) it is likely their application dates are similar.</t>
  </si>
  <si>
    <t>*Product assumed, farmer non-confirmation (Dual Gold / Mercantor Gold)</t>
  </si>
  <si>
    <t>g/L S-met</t>
  </si>
  <si>
    <t>Dual Gold  (DG)</t>
  </si>
  <si>
    <t>Mercantor Gold (MG)</t>
  </si>
  <si>
    <t>Beet (L/Ha)</t>
  </si>
  <si>
    <t>Mais (L/Ha)</t>
  </si>
  <si>
    <t>g/m2</t>
  </si>
  <si>
    <t>needs update!</t>
  </si>
  <si>
    <t>AW_N_0x</t>
  </si>
  <si>
    <t>AW_T_0x</t>
  </si>
  <si>
    <t>AW_S_0x</t>
  </si>
  <si>
    <t>North + Valley (% of tot. app.)</t>
  </si>
  <si>
    <t>Tot Transect Area</t>
  </si>
  <si>
    <t>App.Mass.[g] (Only on transect)</t>
  </si>
  <si>
    <t>Cum Area Appl.</t>
  </si>
  <si>
    <t>Transect area by major date</t>
  </si>
  <si>
    <t>Tot</t>
  </si>
  <si>
    <t>[ug/g soil]</t>
  </si>
  <si>
    <t>Losses</t>
  </si>
  <si>
    <t>Week 10</t>
  </si>
  <si>
    <t>R.Book 9.2</t>
  </si>
  <si>
    <t>By Week 10 (June)</t>
  </si>
  <si>
    <t>All (% of total app)</t>
  </si>
  <si>
    <t>Tot.</t>
  </si>
  <si>
    <t>% of total losses</t>
  </si>
  <si>
    <t>% of transect applied</t>
  </si>
  <si>
    <t>Open Ray.</t>
  </si>
  <si>
    <t xml:space="preserve">Dose </t>
  </si>
  <si>
    <t>Technical Sheet Recommendations</t>
  </si>
  <si>
    <t>Depth =</t>
  </si>
  <si>
    <t>[m]</t>
  </si>
  <si>
    <t>Sampling assumptions</t>
  </si>
  <si>
    <t>Not on Transect</t>
  </si>
  <si>
    <t>Background + Applications</t>
  </si>
  <si>
    <t>Mathis*</t>
  </si>
  <si>
    <t>Mahler*</t>
  </si>
  <si>
    <t>Dutt (No S-met in 2016)</t>
  </si>
  <si>
    <t>Dutt  (No S-met in 2016)</t>
  </si>
  <si>
    <t>** Schmitt stated that on May 25th an application was made.</t>
  </si>
  <si>
    <t>Speich***</t>
  </si>
  <si>
    <t>Schmitt**</t>
  </si>
  <si>
    <t>Sample_cuve_01</t>
  </si>
  <si>
    <t>Sample_cuve_02</t>
  </si>
  <si>
    <t>Sample_cuve_03</t>
  </si>
  <si>
    <t>Sample_cuve_04</t>
  </si>
  <si>
    <t>Sample_cuve_05</t>
  </si>
  <si>
    <t>Sample_cuve_06</t>
  </si>
  <si>
    <t>Sample_cuve_07</t>
  </si>
  <si>
    <t>Sample_cuve_08</t>
  </si>
  <si>
    <t>Sample_cuve_09</t>
  </si>
  <si>
    <t>Sample_cuve_10</t>
  </si>
  <si>
    <t>Sample_cuve_11</t>
  </si>
  <si>
    <t>Sample_cuve_12</t>
  </si>
  <si>
    <t>Sample_pure_01</t>
  </si>
  <si>
    <t>Sample_pure_02</t>
  </si>
  <si>
    <t>Sample_pure_03</t>
  </si>
  <si>
    <t>Sample_pure_04</t>
  </si>
  <si>
    <t>Sample_pure_05</t>
  </si>
  <si>
    <t>Cuve SD</t>
  </si>
  <si>
    <t>Pure SD</t>
  </si>
  <si>
    <t xml:space="preserve">Overall mean </t>
  </si>
  <si>
    <t>Overall SD</t>
  </si>
  <si>
    <t>Nitrogen Concentration factor to reach 0.33 g/L in 1uL injection</t>
  </si>
  <si>
    <t>CF:</t>
  </si>
  <si>
    <t>uL</t>
  </si>
  <si>
    <t>Vol ini</t>
  </si>
  <si>
    <t>ug/L needed</t>
  </si>
  <si>
    <t>L</t>
  </si>
  <si>
    <t>(50uL)</t>
  </si>
  <si>
    <t>mass (ug)</t>
  </si>
  <si>
    <t>Vol fin (L)</t>
  </si>
  <si>
    <t>Conc fin (ug/L)</t>
  </si>
  <si>
    <t>Conc fin g/L</t>
  </si>
  <si>
    <t>Conc Vial</t>
  </si>
  <si>
    <t>(30 uL)</t>
  </si>
  <si>
    <t>Farmer practice (Corn)</t>
  </si>
  <si>
    <t>Farmer practice (Beyond dose, Beet)</t>
  </si>
  <si>
    <t>MG*</t>
  </si>
  <si>
    <t>True</t>
  </si>
  <si>
    <t>False</t>
  </si>
  <si>
    <t>*Mahler &amp; Mathis - Product assumed, farmer non-confirmation (Dual Gold / Mercantor Gold, resp.)</t>
  </si>
  <si>
    <t>pNum</t>
  </si>
  <si>
    <t>pID</t>
  </si>
  <si>
    <t>onTrans</t>
  </si>
  <si>
    <t>m2</t>
  </si>
  <si>
    <t>Input for R</t>
  </si>
  <si>
    <t>** Schmitt stated that on May 25th an application was made. (Here 29th is recorded as this is the earlier data point to compare against after application)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</si>
</sst>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000"/>
    <numFmt numFmtId="166" formatCode="0.0000000000000000"/>
    <numFmt numFmtId="167" formatCode="0.000000000000000"/>
    <numFmt numFmtId="168" formatCode="0.0000000000000"/>
    <numFmt numFmtId="169" formatCode="0.0"/>
    <numFmt numFmtId="170" formatCode="d/m;@"/>
    <numFmt numFmtId="171" formatCode="0.0%"/>
    <numFmt numFmtId="172" formatCode="d/m/yy\ h:mm;@"/>
    <numFmt numFmtId="173" formatCode="0.00000"/>
  </numFmts>
  <fonts count="42" x14ac:knownFonts="1">
    <font>
      <sz val="11"/>
      <color theme="1"/>
      <name val="Calibri"/>
      <family val="2"/>
      <scheme val="minor"/>
    </font>
    <font>
      <b/>
      <sz val="11"/>
      <color theme="1"/>
      <name val="Calibri"/>
      <family val="2"/>
      <scheme val="minor"/>
    </font>
    <font>
      <b/>
      <sz val="11"/>
      <name val="Calibri"/>
      <family val="2"/>
      <scheme val="minor"/>
    </font>
    <font>
      <i/>
      <sz val="11"/>
      <name val="Calibri"/>
      <family val="2"/>
      <scheme val="minor"/>
    </font>
    <font>
      <sz val="11"/>
      <name val="Calibri"/>
      <family val="2"/>
      <scheme val="minor"/>
    </font>
    <font>
      <i/>
      <sz val="11"/>
      <color theme="1"/>
      <name val="Calibri"/>
      <family val="2"/>
      <scheme val="minor"/>
    </font>
    <font>
      <sz val="8"/>
      <name val="Times New Roman"/>
      <family val="1"/>
    </font>
    <font>
      <b/>
      <sz val="10"/>
      <name val="Calibri"/>
      <family val="2"/>
      <scheme val="minor"/>
    </font>
    <font>
      <sz val="10"/>
      <color theme="1"/>
      <name val="Calibri"/>
      <family val="2"/>
      <scheme val="minor"/>
    </font>
    <font>
      <i/>
      <sz val="10"/>
      <name val="Calibri"/>
      <family val="2"/>
      <scheme val="minor"/>
    </font>
    <font>
      <sz val="8"/>
      <name val="Arial"/>
      <family val="2"/>
    </font>
    <font>
      <b/>
      <sz val="10"/>
      <color theme="1"/>
      <name val="Calibri"/>
      <family val="2"/>
      <scheme val="minor"/>
    </font>
    <font>
      <b/>
      <vertAlign val="subscript"/>
      <sz val="10"/>
      <color theme="1"/>
      <name val="Calibri"/>
      <family val="2"/>
      <scheme val="minor"/>
    </font>
    <font>
      <i/>
      <sz val="10"/>
      <color theme="1"/>
      <name val="Calibri"/>
      <family val="2"/>
      <scheme val="minor"/>
    </font>
    <font>
      <sz val="11"/>
      <color rgb="FFFF0000"/>
      <name val="Calibri"/>
      <family val="2"/>
      <scheme val="minor"/>
    </font>
    <font>
      <b/>
      <sz val="11"/>
      <color rgb="FFFF0000"/>
      <name val="Calibri"/>
      <family val="2"/>
      <scheme val="minor"/>
    </font>
    <font>
      <strike/>
      <sz val="11"/>
      <color theme="1"/>
      <name val="Calibri"/>
      <family val="2"/>
      <scheme val="minor"/>
    </font>
    <font>
      <strike/>
      <sz val="10"/>
      <color theme="1"/>
      <name val="Calibri"/>
      <family val="2"/>
      <scheme val="minor"/>
    </font>
    <font>
      <b/>
      <strike/>
      <sz val="11"/>
      <color theme="1"/>
      <name val="Calibri"/>
      <family val="2"/>
      <scheme val="minor"/>
    </font>
    <font>
      <strike/>
      <sz val="11"/>
      <color rgb="FFFF0000"/>
      <name val="Calibri"/>
      <family val="2"/>
      <scheme val="minor"/>
    </font>
    <font>
      <sz val="9"/>
      <color indexed="81"/>
      <name val="Tahoma"/>
      <family val="2"/>
    </font>
    <font>
      <b/>
      <sz val="9"/>
      <color indexed="81"/>
      <name val="Tahoma"/>
      <family val="2"/>
    </font>
    <font>
      <strike/>
      <sz val="11"/>
      <name val="Calibri"/>
      <family val="2"/>
      <scheme val="minor"/>
    </font>
    <font>
      <i/>
      <sz val="11"/>
      <color rgb="FFFF0000"/>
      <name val="Calibri"/>
      <family val="2"/>
      <scheme val="minor"/>
    </font>
    <font>
      <sz val="10"/>
      <color rgb="FFFF0000"/>
      <name val="Calibri"/>
      <family val="2"/>
      <scheme val="minor"/>
    </font>
    <font>
      <sz val="11"/>
      <color rgb="FFC00000"/>
      <name val="Calibri"/>
      <family val="2"/>
      <scheme val="minor"/>
    </font>
    <font>
      <sz val="11"/>
      <color theme="9" tint="-0.249977111117893"/>
      <name val="Calibri"/>
      <family val="2"/>
      <scheme val="minor"/>
    </font>
    <font>
      <sz val="8"/>
      <color theme="9" tint="-0.249977111117893"/>
      <name val="Arial"/>
      <family val="2"/>
    </font>
    <font>
      <b/>
      <sz val="11"/>
      <color theme="9" tint="-0.249977111117893"/>
      <name val="Calibri"/>
      <family val="2"/>
      <scheme val="minor"/>
    </font>
    <font>
      <u/>
      <sz val="11"/>
      <color theme="10"/>
      <name val="Calibri"/>
      <family val="2"/>
      <scheme val="minor"/>
    </font>
    <font>
      <u/>
      <sz val="11"/>
      <color theme="11"/>
      <name val="Calibri"/>
      <family val="2"/>
      <scheme val="minor"/>
    </font>
    <font>
      <sz val="11"/>
      <color rgb="FFE26B0A"/>
      <name val="Calibri"/>
      <family val="2"/>
      <scheme val="minor"/>
    </font>
    <font>
      <sz val="10"/>
      <color indexed="81"/>
      <name val="Calibri"/>
      <family val="2"/>
    </font>
    <font>
      <b/>
      <sz val="10"/>
      <color indexed="81"/>
      <name val="Calibri"/>
      <family val="2"/>
    </font>
    <font>
      <sz val="11"/>
      <color theme="1"/>
      <name val="Calibri"/>
      <family val="2"/>
      <scheme val="minor"/>
    </font>
    <font>
      <sz val="11"/>
      <color theme="7" tint="-0.249977111117893"/>
      <name val="Calibri"/>
      <family val="2"/>
      <scheme val="minor"/>
    </font>
    <font>
      <sz val="11"/>
      <color theme="1"/>
      <name val="Calibri"/>
      <family val="2"/>
    </font>
    <font>
      <sz val="11"/>
      <color indexed="8"/>
      <name val="Calibri"/>
      <family val="2"/>
    </font>
    <font>
      <i/>
      <sz val="11"/>
      <color theme="4" tint="-0.249977111117893"/>
      <name val="Calibri"/>
      <family val="2"/>
      <scheme val="minor"/>
    </font>
    <font>
      <b/>
      <sz val="11"/>
      <color theme="7" tint="-0.249977111117893"/>
      <name val="Calibri"/>
      <family val="2"/>
      <scheme val="minor"/>
    </font>
    <font>
      <i/>
      <sz val="11"/>
      <color theme="8" tint="-0.499984740745262"/>
      <name val="Calibri"/>
      <family val="2"/>
      <scheme val="minor"/>
    </font>
    <font>
      <sz val="11"/>
      <color rgb="FF000000"/>
      <name val="Lucida Sans"/>
      <family val="2"/>
    </font>
  </fonts>
  <fills count="25">
    <fill>
      <patternFill patternType="none"/>
    </fill>
    <fill>
      <patternFill patternType="gray125"/>
    </fill>
    <fill>
      <patternFill patternType="solid">
        <fgColor theme="0" tint="-0.49998474074526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00B0F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medium">
        <color auto="1"/>
      </left>
      <right style="medium">
        <color auto="1"/>
      </right>
      <top style="medium">
        <color auto="1"/>
      </top>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bottom style="thin">
        <color auto="1"/>
      </bottom>
      <diagonal/>
    </border>
  </borders>
  <cellStyleXfs count="7">
    <xf numFmtId="0" fontId="0" fillId="0" borderId="0"/>
    <xf numFmtId="0" fontId="6" fillId="0" borderId="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9" fontId="34" fillId="0" borderId="0" applyFont="0" applyFill="0" applyBorder="0" applyAlignment="0" applyProtection="0"/>
  </cellStyleXfs>
  <cellXfs count="557">
    <xf numFmtId="0" fontId="0" fillId="0" borderId="0" xfId="0"/>
    <xf numFmtId="0" fontId="0" fillId="0" borderId="0" xfId="0" applyFont="1"/>
    <xf numFmtId="164" fontId="0" fillId="0" borderId="0" xfId="0" applyNumberFormat="1" applyFont="1"/>
    <xf numFmtId="49" fontId="4" fillId="0" borderId="0" xfId="0" applyNumberFormat="1" applyFont="1" applyAlignment="1">
      <alignment horizontal="left"/>
    </xf>
    <xf numFmtId="164" fontId="4" fillId="0" borderId="0" xfId="0" applyNumberFormat="1" applyFont="1" applyAlignment="1">
      <alignment horizontal="right"/>
    </xf>
    <xf numFmtId="0" fontId="1" fillId="0" borderId="0" xfId="0" applyFont="1" applyAlignment="1">
      <alignment horizontal="center" vertical="center"/>
    </xf>
    <xf numFmtId="0" fontId="0" fillId="0" borderId="0" xfId="0" applyNumberFormat="1" applyFont="1"/>
    <xf numFmtId="0" fontId="1"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xf>
    <xf numFmtId="0" fontId="0" fillId="0" borderId="0" xfId="0" applyFont="1" applyFill="1"/>
    <xf numFmtId="0" fontId="0" fillId="0" borderId="0" xfId="0" applyFill="1" applyAlignment="1">
      <alignment horizontal="center" vertical="center"/>
    </xf>
    <xf numFmtId="164" fontId="2" fillId="2" borderId="0" xfId="0" applyNumberFormat="1" applyFont="1" applyFill="1" applyAlignment="1">
      <alignment horizontal="right" wrapText="1"/>
    </xf>
    <xf numFmtId="0" fontId="0" fillId="0" borderId="0" xfId="0" applyFont="1" applyAlignment="1">
      <alignment wrapText="1"/>
    </xf>
    <xf numFmtId="0" fontId="0" fillId="0" borderId="0" xfId="0" applyAlignment="1">
      <alignment horizontal="center" vertical="center"/>
    </xf>
    <xf numFmtId="0" fontId="0" fillId="3" borderId="0" xfId="0" applyFont="1" applyFill="1"/>
    <xf numFmtId="0" fontId="0" fillId="3" borderId="0" xfId="0" applyNumberFormat="1" applyFont="1" applyFill="1"/>
    <xf numFmtId="0" fontId="0" fillId="3" borderId="0" xfId="0" applyFill="1"/>
    <xf numFmtId="165" fontId="0" fillId="3" borderId="0" xfId="0" applyNumberFormat="1" applyFont="1" applyFill="1"/>
    <xf numFmtId="2" fontId="0" fillId="0" borderId="0" xfId="0" applyNumberFormat="1" applyFont="1"/>
    <xf numFmtId="164" fontId="7" fillId="2" borderId="0" xfId="0" applyNumberFormat="1" applyFont="1" applyFill="1" applyAlignment="1">
      <alignment horizontal="right" wrapText="1"/>
    </xf>
    <xf numFmtId="0" fontId="8" fillId="0" borderId="0" xfId="0" applyFont="1" applyAlignment="1">
      <alignment wrapText="1"/>
    </xf>
    <xf numFmtId="164" fontId="9" fillId="2" borderId="0" xfId="0" applyNumberFormat="1" applyFont="1" applyFill="1" applyAlignment="1">
      <alignment horizontal="right" wrapText="1"/>
    </xf>
    <xf numFmtId="164" fontId="10" fillId="0" borderId="0" xfId="0" applyNumberFormat="1" applyFont="1" applyAlignment="1">
      <alignment horizontal="right"/>
    </xf>
    <xf numFmtId="165" fontId="11" fillId="2" borderId="0" xfId="0" applyNumberFormat="1" applyFont="1" applyFill="1" applyAlignment="1">
      <alignment horizontal="center" vertical="center" wrapText="1"/>
    </xf>
    <xf numFmtId="0" fontId="13" fillId="2" borderId="0" xfId="0" applyFont="1" applyFill="1" applyAlignment="1">
      <alignment horizontal="center" vertical="center" wrapText="1"/>
    </xf>
    <xf numFmtId="165" fontId="0" fillId="0" borderId="0" xfId="0" applyNumberFormat="1" applyFont="1" applyFill="1" applyAlignment="1">
      <alignment horizontal="center" vertical="center"/>
    </xf>
    <xf numFmtId="164" fontId="14" fillId="0" borderId="0" xfId="0" applyNumberFormat="1" applyFont="1" applyAlignment="1">
      <alignment horizontal="right"/>
    </xf>
    <xf numFmtId="0" fontId="14" fillId="0" borderId="0" xfId="0" applyFont="1"/>
    <xf numFmtId="0" fontId="14" fillId="0" borderId="0" xfId="0" applyFont="1" applyAlignment="1">
      <alignment horizontal="center" vertical="center"/>
    </xf>
    <xf numFmtId="2" fontId="14" fillId="0" borderId="0" xfId="0" applyNumberFormat="1" applyFont="1"/>
    <xf numFmtId="2" fontId="0" fillId="0" borderId="0" xfId="0" applyNumberFormat="1" applyFill="1" applyAlignment="1">
      <alignment horizontal="center" vertical="center"/>
    </xf>
    <xf numFmtId="0" fontId="4" fillId="0" borderId="0" xfId="0" applyFont="1"/>
    <xf numFmtId="0" fontId="4" fillId="0" borderId="0" xfId="0" applyFont="1" applyAlignment="1">
      <alignment horizontal="center" vertical="center"/>
    </xf>
    <xf numFmtId="2" fontId="4" fillId="0" borderId="0" xfId="0" applyNumberFormat="1" applyFont="1" applyFill="1" applyAlignment="1">
      <alignment horizontal="center" vertical="center"/>
    </xf>
    <xf numFmtId="2" fontId="4" fillId="0" borderId="0" xfId="0" applyNumberFormat="1" applyFont="1"/>
    <xf numFmtId="0" fontId="14" fillId="0" borderId="0" xfId="0" applyFont="1" applyAlignment="1">
      <alignment horizontal="center" vertical="center" wrapText="1"/>
    </xf>
    <xf numFmtId="0" fontId="14" fillId="4" borderId="0" xfId="0" applyFont="1" applyFill="1" applyAlignment="1">
      <alignment horizontal="center" vertical="center"/>
    </xf>
    <xf numFmtId="0" fontId="14" fillId="0" borderId="0" xfId="0" applyFont="1" applyFill="1" applyAlignment="1">
      <alignment horizontal="center" vertical="center"/>
    </xf>
    <xf numFmtId="164" fontId="9" fillId="2" borderId="0" xfId="0" applyNumberFormat="1" applyFont="1" applyFill="1" applyAlignment="1">
      <alignment horizontal="center" wrapText="1"/>
    </xf>
    <xf numFmtId="49" fontId="2" fillId="2" borderId="1" xfId="0" applyNumberFormat="1" applyFont="1" applyFill="1" applyBorder="1" applyAlignment="1">
      <alignment horizontal="center" vertical="center"/>
    </xf>
    <xf numFmtId="0" fontId="16" fillId="0" borderId="0" xfId="0" applyFont="1"/>
    <xf numFmtId="0" fontId="17" fillId="0" borderId="0" xfId="0" applyFont="1" applyAlignment="1">
      <alignment horizontal="center" vertical="center"/>
    </xf>
    <xf numFmtId="0" fontId="18" fillId="0" borderId="0" xfId="0" applyFont="1" applyFill="1" applyAlignment="1">
      <alignment horizontal="center" vertical="center"/>
    </xf>
    <xf numFmtId="0" fontId="16" fillId="0" borderId="0" xfId="0" applyFont="1" applyFill="1" applyAlignment="1">
      <alignment horizontal="center" vertical="center"/>
    </xf>
    <xf numFmtId="0" fontId="8" fillId="0" borderId="0" xfId="0" applyFont="1" applyAlignment="1">
      <alignment horizontal="center" vertical="center"/>
    </xf>
    <xf numFmtId="0" fontId="1" fillId="2" borderId="0" xfId="0" applyFont="1" applyFill="1" applyAlignment="1">
      <alignment horizontal="center" vertical="center"/>
    </xf>
    <xf numFmtId="0" fontId="16" fillId="0" borderId="0" xfId="0" applyFont="1" applyAlignment="1">
      <alignment horizontal="center" vertical="center"/>
    </xf>
    <xf numFmtId="0" fontId="0" fillId="0" borderId="0" xfId="0" applyAlignment="1">
      <alignment horizontal="center"/>
    </xf>
    <xf numFmtId="0" fontId="1" fillId="0" borderId="0" xfId="0" applyFont="1"/>
    <xf numFmtId="0" fontId="0" fillId="0" borderId="0" xfId="0" applyFont="1" applyAlignment="1">
      <alignment horizontal="center"/>
    </xf>
    <xf numFmtId="49" fontId="4" fillId="0" borderId="0" xfId="0" applyNumberFormat="1" applyFont="1" applyAlignment="1">
      <alignment horizontal="center"/>
    </xf>
    <xf numFmtId="0" fontId="4" fillId="0" borderId="0" xfId="0" applyFont="1" applyAlignment="1">
      <alignment horizontal="center"/>
    </xf>
    <xf numFmtId="2" fontId="0" fillId="0" borderId="0" xfId="0" applyNumberFormat="1" applyFont="1" applyAlignment="1">
      <alignment horizontal="center"/>
    </xf>
    <xf numFmtId="2" fontId="0" fillId="6" borderId="0" xfId="0" applyNumberFormat="1" applyFont="1" applyFill="1" applyAlignment="1">
      <alignment horizontal="center"/>
    </xf>
    <xf numFmtId="2" fontId="0" fillId="7" borderId="0" xfId="0" applyNumberFormat="1" applyFont="1" applyFill="1" applyAlignment="1">
      <alignment horizontal="center"/>
    </xf>
    <xf numFmtId="164" fontId="7" fillId="2" borderId="0" xfId="0" applyNumberFormat="1" applyFont="1" applyFill="1" applyAlignment="1">
      <alignment horizontal="center" wrapText="1"/>
    </xf>
    <xf numFmtId="0" fontId="14" fillId="0" borderId="0" xfId="0" applyFont="1" applyAlignment="1">
      <alignment horizontal="center"/>
    </xf>
    <xf numFmtId="0" fontId="0" fillId="3" borderId="0" xfId="0" applyFill="1" applyAlignment="1">
      <alignment horizontal="center"/>
    </xf>
    <xf numFmtId="164" fontId="0" fillId="0" borderId="0" xfId="0" applyNumberFormat="1" applyFont="1" applyAlignment="1">
      <alignment horizontal="center"/>
    </xf>
    <xf numFmtId="2" fontId="4" fillId="0" borderId="0" xfId="0" applyNumberFormat="1" applyFont="1" applyAlignment="1">
      <alignment horizontal="center"/>
    </xf>
    <xf numFmtId="49" fontId="4" fillId="6" borderId="0" xfId="0" applyNumberFormat="1" applyFont="1" applyFill="1" applyAlignment="1">
      <alignment horizontal="left"/>
    </xf>
    <xf numFmtId="0" fontId="8" fillId="6" borderId="0" xfId="0" applyFont="1" applyFill="1" applyAlignment="1">
      <alignment horizontal="center" vertical="center"/>
    </xf>
    <xf numFmtId="0" fontId="0" fillId="6" borderId="0" xfId="0" applyFont="1" applyFill="1"/>
    <xf numFmtId="0" fontId="1" fillId="6" borderId="0" xfId="0" applyFont="1" applyFill="1" applyAlignment="1">
      <alignment horizontal="center" vertical="center"/>
    </xf>
    <xf numFmtId="0" fontId="5" fillId="6" borderId="0" xfId="0" applyFont="1" applyFill="1" applyAlignment="1">
      <alignment horizontal="center" vertical="center"/>
    </xf>
    <xf numFmtId="0" fontId="0" fillId="6" borderId="0" xfId="0" applyFont="1" applyFill="1" applyAlignment="1">
      <alignment horizontal="center" vertical="center"/>
    </xf>
    <xf numFmtId="0" fontId="0" fillId="6" borderId="0" xfId="0" applyFill="1" applyAlignment="1">
      <alignment horizontal="center" vertical="center"/>
    </xf>
    <xf numFmtId="2" fontId="0" fillId="6" borderId="0" xfId="0" applyNumberFormat="1" applyFont="1" applyFill="1"/>
    <xf numFmtId="164" fontId="4" fillId="0" borderId="0" xfId="0" applyNumberFormat="1" applyFont="1" applyAlignment="1">
      <alignment horizontal="center"/>
    </xf>
    <xf numFmtId="0" fontId="0" fillId="3" borderId="0" xfId="0" applyFont="1" applyFill="1" applyAlignment="1">
      <alignment horizontal="center" vertical="center"/>
    </xf>
    <xf numFmtId="164" fontId="2" fillId="2" borderId="0" xfId="0" applyNumberFormat="1" applyFont="1" applyFill="1" applyAlignment="1">
      <alignment horizontal="center" vertical="center" wrapText="1"/>
    </xf>
    <xf numFmtId="164" fontId="3" fillId="2" borderId="0" xfId="0" applyNumberFormat="1" applyFont="1" applyFill="1" applyAlignment="1">
      <alignment horizontal="center" vertical="center" wrapText="1"/>
    </xf>
    <xf numFmtId="164" fontId="4" fillId="0" borderId="0" xfId="0" applyNumberFormat="1" applyFont="1" applyAlignment="1">
      <alignment horizontal="center" vertical="center"/>
    </xf>
    <xf numFmtId="164" fontId="4" fillId="6" borderId="0" xfId="0" applyNumberFormat="1" applyFont="1" applyFill="1" applyAlignment="1">
      <alignment horizontal="center" vertical="center"/>
    </xf>
    <xf numFmtId="0" fontId="4" fillId="6" borderId="0" xfId="0" applyFont="1" applyFill="1" applyAlignment="1">
      <alignment horizontal="center" vertical="center"/>
    </xf>
    <xf numFmtId="0" fontId="8" fillId="0" borderId="0" xfId="0" applyFont="1" applyFill="1" applyAlignment="1">
      <alignment horizontal="center" vertical="center"/>
    </xf>
    <xf numFmtId="164" fontId="4" fillId="0" borderId="0" xfId="0" applyNumberFormat="1" applyFont="1" applyFill="1" applyAlignment="1">
      <alignment horizontal="center" vertical="center"/>
    </xf>
    <xf numFmtId="2" fontId="0" fillId="0" borderId="0" xfId="0" applyNumberFormat="1" applyFont="1" applyFill="1"/>
    <xf numFmtId="0" fontId="14" fillId="0" borderId="0" xfId="0" applyFont="1" applyAlignment="1">
      <alignment horizontal="center" wrapText="1"/>
    </xf>
    <xf numFmtId="0" fontId="14" fillId="6" borderId="0" xfId="0" applyFont="1" applyFill="1" applyAlignment="1">
      <alignment horizontal="center"/>
    </xf>
    <xf numFmtId="0" fontId="14" fillId="0" borderId="0" xfId="0" applyFont="1" applyFill="1" applyAlignment="1">
      <alignment horizontal="center"/>
    </xf>
    <xf numFmtId="0" fontId="19" fillId="0" borderId="0" xfId="0" applyFont="1" applyAlignment="1">
      <alignment horizontal="center"/>
    </xf>
    <xf numFmtId="164" fontId="10" fillId="0" borderId="0" xfId="0" applyNumberFormat="1" applyFont="1" applyAlignment="1">
      <alignment horizontal="center"/>
    </xf>
    <xf numFmtId="164" fontId="9" fillId="2" borderId="0" xfId="0" applyNumberFormat="1" applyFont="1" applyFill="1" applyAlignment="1">
      <alignment horizontal="center" wrapText="1"/>
    </xf>
    <xf numFmtId="0" fontId="0" fillId="3" borderId="0" xfId="0" applyFont="1" applyFill="1" applyAlignment="1">
      <alignment horizontal="center"/>
    </xf>
    <xf numFmtId="0" fontId="0" fillId="6" borderId="0" xfId="0" applyFont="1" applyFill="1" applyAlignment="1">
      <alignment horizontal="center"/>
    </xf>
    <xf numFmtId="0" fontId="0" fillId="0" borderId="0" xfId="0" applyFont="1" applyFill="1" applyAlignment="1">
      <alignment horizontal="center"/>
    </xf>
    <xf numFmtId="0" fontId="16" fillId="0" borderId="0" xfId="0" applyFont="1" applyAlignment="1">
      <alignment horizontal="center"/>
    </xf>
    <xf numFmtId="49" fontId="4" fillId="6" borderId="0" xfId="0" applyNumberFormat="1" applyFont="1" applyFill="1" applyAlignment="1">
      <alignment horizontal="center"/>
    </xf>
    <xf numFmtId="0" fontId="0" fillId="0" borderId="0" xfId="0" applyFont="1" applyAlignment="1">
      <alignment vertical="center" wrapText="1"/>
    </xf>
    <xf numFmtId="49" fontId="22" fillId="0" borderId="0" xfId="0" applyNumberFormat="1" applyFont="1" applyAlignment="1">
      <alignment horizontal="left"/>
    </xf>
    <xf numFmtId="49" fontId="22" fillId="0" borderId="0" xfId="0" applyNumberFormat="1" applyFont="1" applyAlignment="1">
      <alignment horizontal="center"/>
    </xf>
    <xf numFmtId="164" fontId="14" fillId="0" borderId="0" xfId="0" applyNumberFormat="1" applyFont="1" applyFill="1" applyAlignment="1">
      <alignment horizontal="center" vertical="center"/>
    </xf>
    <xf numFmtId="164" fontId="2" fillId="2" borderId="0" xfId="0" applyNumberFormat="1" applyFont="1" applyFill="1" applyAlignment="1">
      <alignment horizontal="center" wrapText="1"/>
    </xf>
    <xf numFmtId="2" fontId="0" fillId="6" borderId="0" xfId="0" applyNumberFormat="1" applyFill="1" applyAlignment="1">
      <alignment horizontal="center" vertical="center"/>
    </xf>
    <xf numFmtId="2" fontId="16" fillId="0" borderId="0" xfId="0" applyNumberFormat="1" applyFont="1" applyAlignment="1">
      <alignment horizontal="center"/>
    </xf>
    <xf numFmtId="49" fontId="0" fillId="0" borderId="0" xfId="0" applyNumberFormat="1"/>
    <xf numFmtId="49" fontId="0" fillId="0" borderId="0" xfId="0" applyNumberFormat="1" applyAlignment="1">
      <alignment horizontal="center" vertical="center" wrapText="1"/>
    </xf>
    <xf numFmtId="0" fontId="0" fillId="0" borderId="0" xfId="0" applyAlignment="1">
      <alignment horizontal="center" vertical="center" wrapText="1"/>
    </xf>
    <xf numFmtId="49" fontId="0" fillId="0" borderId="0" xfId="0" applyNumberFormat="1" applyAlignment="1">
      <alignment horizontal="center"/>
    </xf>
    <xf numFmtId="2" fontId="0" fillId="0" borderId="0" xfId="0" applyNumberFormat="1" applyAlignment="1">
      <alignment horizontal="center" vertical="center" wrapText="1"/>
    </xf>
    <xf numFmtId="164" fontId="3" fillId="2" borderId="0" xfId="0" applyNumberFormat="1" applyFont="1" applyFill="1" applyAlignment="1">
      <alignment horizontal="right" vertical="center" wrapText="1"/>
    </xf>
    <xf numFmtId="49" fontId="2"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65" fontId="0" fillId="0" borderId="0" xfId="0" applyNumberFormat="1" applyFont="1"/>
    <xf numFmtId="49" fontId="0" fillId="0" borderId="0" xfId="0" applyNumberFormat="1" applyAlignment="1">
      <alignment horizontal="left" vertical="center" wrapText="1"/>
    </xf>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NumberFormat="1" applyAlignment="1">
      <alignment horizontal="left" vertical="center" wrapText="1"/>
    </xf>
    <xf numFmtId="49" fontId="14" fillId="0" borderId="0" xfId="0" applyNumberFormat="1" applyFont="1" applyFill="1" applyAlignment="1">
      <alignment horizontal="left"/>
    </xf>
    <xf numFmtId="49" fontId="14" fillId="0" borderId="0" xfId="0" applyNumberFormat="1" applyFont="1" applyFill="1" applyAlignment="1">
      <alignment horizontal="center"/>
    </xf>
    <xf numFmtId="0" fontId="14" fillId="0" borderId="0" xfId="0" applyFont="1" applyFill="1"/>
    <xf numFmtId="0" fontId="15" fillId="0" borderId="0" xfId="0" applyFont="1" applyFill="1" applyAlignment="1">
      <alignment horizontal="center" vertical="center"/>
    </xf>
    <xf numFmtId="0" fontId="23" fillId="0" borderId="0" xfId="0" applyFont="1" applyFill="1" applyAlignment="1">
      <alignment horizontal="center" vertical="center"/>
    </xf>
    <xf numFmtId="0" fontId="24" fillId="0" borderId="0" xfId="0" applyFont="1" applyFill="1" applyAlignment="1">
      <alignment horizontal="center" vertical="center"/>
    </xf>
    <xf numFmtId="164" fontId="0" fillId="6" borderId="0" xfId="0" applyNumberFormat="1" applyFont="1" applyFill="1" applyAlignment="1">
      <alignment horizontal="center"/>
    </xf>
    <xf numFmtId="2" fontId="14" fillId="6" borderId="0" xfId="0" applyNumberFormat="1" applyFont="1" applyFill="1" applyAlignment="1">
      <alignment horizontal="center"/>
    </xf>
    <xf numFmtId="0" fontId="25" fillId="4" borderId="0" xfId="0" applyFont="1" applyFill="1"/>
    <xf numFmtId="0" fontId="25" fillId="0" borderId="0" xfId="0" applyFont="1" applyFill="1" applyAlignment="1">
      <alignment horizontal="center"/>
    </xf>
    <xf numFmtId="49" fontId="14" fillId="0" borderId="0" xfId="0" applyNumberFormat="1" applyFont="1" applyAlignment="1">
      <alignment horizontal="center"/>
    </xf>
    <xf numFmtId="164" fontId="14" fillId="0" borderId="0" xfId="0" applyNumberFormat="1" applyFont="1" applyAlignment="1">
      <alignment horizontal="center"/>
    </xf>
    <xf numFmtId="165" fontId="14" fillId="0" borderId="0" xfId="0" applyNumberFormat="1" applyFont="1"/>
    <xf numFmtId="165" fontId="4" fillId="0" borderId="0" xfId="0" applyNumberFormat="1" applyFont="1"/>
    <xf numFmtId="0" fontId="5" fillId="0" borderId="0" xfId="0" applyFont="1" applyAlignment="1">
      <alignment horizontal="center" vertical="center"/>
    </xf>
    <xf numFmtId="49" fontId="7" fillId="5" borderId="0" xfId="0" applyNumberFormat="1" applyFont="1" applyFill="1" applyAlignment="1">
      <alignment horizontal="center" vertical="center"/>
    </xf>
    <xf numFmtId="0" fontId="13" fillId="5" borderId="0" xfId="0" applyFont="1" applyFill="1" applyAlignment="1">
      <alignment horizontal="center" vertical="center" wrapText="1"/>
    </xf>
    <xf numFmtId="164" fontId="9" fillId="5" borderId="0" xfId="0" applyNumberFormat="1" applyFont="1" applyFill="1" applyAlignment="1">
      <alignment horizontal="center" vertical="center" wrapText="1"/>
    </xf>
    <xf numFmtId="0" fontId="8" fillId="5" borderId="0" xfId="0" applyFont="1" applyFill="1" applyAlignment="1">
      <alignment horizontal="center" vertical="center" wrapText="1"/>
    </xf>
    <xf numFmtId="164" fontId="3" fillId="5" borderId="0" xfId="0" applyNumberFormat="1" applyFont="1" applyFill="1" applyAlignment="1">
      <alignment horizontal="right" wrapText="1"/>
    </xf>
    <xf numFmtId="14" fontId="0" fillId="6" borderId="0" xfId="0" applyNumberFormat="1" applyFont="1" applyFill="1" applyAlignment="1"/>
    <xf numFmtId="14" fontId="14" fillId="0" borderId="0" xfId="0" applyNumberFormat="1" applyFont="1" applyFill="1" applyAlignment="1"/>
    <xf numFmtId="14" fontId="0" fillId="0" borderId="0" xfId="0" applyNumberFormat="1" applyFont="1" applyFill="1" applyAlignment="1"/>
    <xf numFmtId="164" fontId="3" fillId="5" borderId="2" xfId="0" applyNumberFormat="1" applyFont="1" applyFill="1" applyBorder="1" applyAlignment="1">
      <alignment horizontal="right" wrapText="1"/>
    </xf>
    <xf numFmtId="0" fontId="14" fillId="0" borderId="1" xfId="0" applyFont="1" applyBorder="1" applyAlignment="1">
      <alignment horizontal="center" vertical="center" wrapText="1"/>
    </xf>
    <xf numFmtId="0" fontId="1" fillId="2" borderId="3" xfId="0" applyFont="1" applyFill="1" applyBorder="1" applyAlignment="1">
      <alignment horizontal="center" vertical="center" wrapText="1"/>
    </xf>
    <xf numFmtId="0" fontId="14" fillId="0" borderId="3" xfId="0" applyFont="1" applyBorder="1" applyAlignment="1">
      <alignment horizontal="center" vertical="center" wrapText="1"/>
    </xf>
    <xf numFmtId="164" fontId="3" fillId="2" borderId="1" xfId="0" applyNumberFormat="1" applyFont="1" applyFill="1" applyBorder="1" applyAlignment="1">
      <alignment horizontal="center" wrapText="1"/>
    </xf>
    <xf numFmtId="164" fontId="9" fillId="2" borderId="1" xfId="0" applyNumberFormat="1" applyFont="1" applyFill="1" applyBorder="1" applyAlignment="1">
      <alignment horizontal="center" wrapText="1"/>
    </xf>
    <xf numFmtId="0" fontId="0" fillId="0" borderId="1" xfId="0" applyFont="1" applyBorder="1" applyAlignment="1">
      <alignment horizontal="center" wrapText="1"/>
    </xf>
    <xf numFmtId="49" fontId="2" fillId="2" borderId="3"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wrapText="1"/>
    </xf>
    <xf numFmtId="164" fontId="7" fillId="2" borderId="3" xfId="0" applyNumberFormat="1" applyFont="1" applyFill="1" applyBorder="1" applyAlignment="1">
      <alignment horizontal="center" vertical="center" wrapText="1"/>
    </xf>
    <xf numFmtId="0" fontId="0" fillId="0" borderId="3" xfId="0" applyFont="1" applyBorder="1" applyAlignment="1">
      <alignment horizontal="center" vertical="center" wrapText="1"/>
    </xf>
    <xf numFmtId="2" fontId="0" fillId="0" borderId="0" xfId="0" applyNumberFormat="1" applyFont="1" applyAlignment="1">
      <alignment horizontal="right"/>
    </xf>
    <xf numFmtId="0" fontId="26" fillId="0" borderId="0" xfId="0" applyFont="1"/>
    <xf numFmtId="2" fontId="26" fillId="0" borderId="0" xfId="0" applyNumberFormat="1" applyFont="1" applyAlignment="1">
      <alignment horizontal="center"/>
    </xf>
    <xf numFmtId="0" fontId="26" fillId="0" borderId="0" xfId="0" applyFont="1" applyAlignment="1">
      <alignment horizontal="center"/>
    </xf>
    <xf numFmtId="0" fontId="26" fillId="0" borderId="0" xfId="0" applyFont="1" applyAlignment="1">
      <alignment horizontal="center" vertical="center"/>
    </xf>
    <xf numFmtId="2" fontId="26" fillId="0" borderId="0" xfId="0" applyNumberFormat="1" applyFont="1" applyFill="1" applyAlignment="1">
      <alignment horizontal="center" vertical="center"/>
    </xf>
    <xf numFmtId="2" fontId="26" fillId="0" borderId="0" xfId="0" applyNumberFormat="1" applyFont="1"/>
    <xf numFmtId="0" fontId="28" fillId="0" borderId="0" xfId="0" applyFont="1" applyAlignment="1">
      <alignment horizontal="center" vertical="center"/>
    </xf>
    <xf numFmtId="164" fontId="27" fillId="0" borderId="0" xfId="0" applyNumberFormat="1" applyFont="1" applyAlignment="1">
      <alignment horizontal="right"/>
    </xf>
    <xf numFmtId="0" fontId="2" fillId="0" borderId="0" xfId="0" applyFont="1" applyAlignment="1">
      <alignment horizontal="center" vertical="center"/>
    </xf>
    <xf numFmtId="164" fontId="4" fillId="0" borderId="0" xfId="0" applyNumberFormat="1" applyFont="1"/>
    <xf numFmtId="164" fontId="4" fillId="6" borderId="0" xfId="0" applyNumberFormat="1" applyFont="1" applyFill="1" applyAlignment="1">
      <alignment horizontal="center"/>
    </xf>
    <xf numFmtId="49" fontId="26" fillId="0" borderId="0" xfId="0" applyNumberFormat="1" applyFont="1" applyAlignment="1">
      <alignment horizontal="left"/>
    </xf>
    <xf numFmtId="164" fontId="26" fillId="0" borderId="0" xfId="0" applyNumberFormat="1" applyFont="1"/>
    <xf numFmtId="164" fontId="26" fillId="6" borderId="0" xfId="0" applyNumberFormat="1" applyFont="1" applyFill="1" applyAlignment="1">
      <alignment horizontal="center"/>
    </xf>
    <xf numFmtId="164" fontId="26" fillId="0" borderId="0" xfId="0" applyNumberFormat="1" applyFont="1" applyAlignment="1">
      <alignment horizontal="right"/>
    </xf>
    <xf numFmtId="2" fontId="26" fillId="7" borderId="0" xfId="0" applyNumberFormat="1" applyFont="1" applyFill="1" applyAlignment="1">
      <alignment horizontal="center"/>
    </xf>
    <xf numFmtId="2" fontId="26" fillId="6" borderId="0" xfId="0" applyNumberFormat="1" applyFont="1" applyFill="1" applyAlignment="1">
      <alignment horizontal="center"/>
    </xf>
    <xf numFmtId="0" fontId="4" fillId="4" borderId="0" xfId="0" applyFont="1" applyFill="1" applyAlignment="1">
      <alignment horizontal="center" vertical="center"/>
    </xf>
    <xf numFmtId="0" fontId="4" fillId="0" borderId="0" xfId="0" applyFont="1" applyFill="1" applyAlignment="1">
      <alignment horizontal="center" vertical="center"/>
    </xf>
    <xf numFmtId="164" fontId="7" fillId="8" borderId="0" xfId="0" applyNumberFormat="1" applyFont="1" applyFill="1" applyAlignment="1">
      <alignment horizontal="right" wrapText="1"/>
    </xf>
    <xf numFmtId="164" fontId="7" fillId="8" borderId="0" xfId="0" applyNumberFormat="1" applyFont="1" applyFill="1" applyAlignment="1">
      <alignment horizontal="center" wrapText="1"/>
    </xf>
    <xf numFmtId="0" fontId="8" fillId="8" borderId="0" xfId="0" applyFont="1" applyFill="1" applyAlignment="1">
      <alignment horizontal="center" wrapText="1"/>
    </xf>
    <xf numFmtId="0" fontId="8" fillId="8" borderId="0" xfId="0" applyFont="1" applyFill="1" applyAlignment="1">
      <alignment wrapText="1"/>
    </xf>
    <xf numFmtId="164" fontId="9" fillId="8" borderId="0" xfId="0" applyNumberFormat="1" applyFont="1" applyFill="1" applyAlignment="1">
      <alignment horizontal="right" wrapText="1"/>
    </xf>
    <xf numFmtId="164" fontId="9" fillId="8" borderId="0" xfId="0" applyNumberFormat="1" applyFont="1" applyFill="1" applyAlignment="1">
      <alignment horizontal="center" wrapText="1"/>
    </xf>
    <xf numFmtId="0" fontId="31" fillId="0" borderId="0" xfId="0" applyFont="1"/>
    <xf numFmtId="0" fontId="0" fillId="0" borderId="0" xfId="0" applyFont="1" applyAlignment="1">
      <alignment horizontal="right"/>
    </xf>
    <xf numFmtId="164" fontId="9" fillId="8" borderId="0" xfId="0" applyNumberFormat="1" applyFont="1" applyFill="1" applyAlignment="1">
      <alignment wrapText="1"/>
    </xf>
    <xf numFmtId="0" fontId="1" fillId="8" borderId="3" xfId="0" applyFont="1" applyFill="1" applyBorder="1" applyAlignment="1">
      <alignment horizontal="center" vertical="center" wrapText="1"/>
    </xf>
    <xf numFmtId="0" fontId="1" fillId="8" borderId="1" xfId="0" applyFont="1" applyFill="1" applyBorder="1" applyAlignment="1">
      <alignment horizontal="center" wrapText="1"/>
    </xf>
    <xf numFmtId="166" fontId="0" fillId="0" borderId="0" xfId="0" applyNumberFormat="1" applyFont="1"/>
    <xf numFmtId="166" fontId="4" fillId="0" borderId="0" xfId="0" applyNumberFormat="1" applyFont="1"/>
    <xf numFmtId="167" fontId="0" fillId="0" borderId="0" xfId="0" applyNumberFormat="1" applyFont="1"/>
    <xf numFmtId="168" fontId="0" fillId="0" borderId="0" xfId="0" applyNumberFormat="1" applyFont="1"/>
    <xf numFmtId="165" fontId="26" fillId="6" borderId="0" xfId="0" applyNumberFormat="1" applyFont="1" applyFill="1" applyAlignment="1">
      <alignment horizontal="center"/>
    </xf>
    <xf numFmtId="165" fontId="0" fillId="6" borderId="0" xfId="0" applyNumberFormat="1" applyFont="1" applyFill="1" applyAlignment="1">
      <alignment horizontal="center"/>
    </xf>
    <xf numFmtId="0" fontId="4" fillId="4" borderId="0" xfId="0" applyFont="1" applyFill="1"/>
    <xf numFmtId="0" fontId="4" fillId="9" borderId="0" xfId="0" applyFont="1" applyFill="1"/>
    <xf numFmtId="0" fontId="8" fillId="0" borderId="0" xfId="0" applyFont="1"/>
    <xf numFmtId="0" fontId="8" fillId="0" borderId="0" xfId="0" applyFont="1" applyAlignment="1">
      <alignment horizontal="center"/>
    </xf>
    <xf numFmtId="165" fontId="8" fillId="0" borderId="0" xfId="0" applyNumberFormat="1" applyFont="1" applyFill="1" applyAlignment="1">
      <alignment horizontal="center" vertical="center"/>
    </xf>
    <xf numFmtId="0" fontId="0" fillId="3" borderId="0" xfId="0" applyNumberFormat="1" applyFont="1" applyFill="1" applyAlignment="1">
      <alignment horizontal="center" vertical="center" wrapText="1"/>
    </xf>
    <xf numFmtId="0" fontId="0" fillId="0" borderId="0" xfId="0" applyFont="1" applyAlignment="1">
      <alignment horizontal="center" vertical="center" wrapText="1"/>
    </xf>
    <xf numFmtId="0" fontId="8" fillId="0" borderId="0" xfId="0" applyFont="1" applyAlignment="1">
      <alignment horizontal="center" vertical="center" wrapText="1"/>
    </xf>
    <xf numFmtId="0" fontId="0" fillId="3" borderId="0" xfId="0" applyFont="1" applyFill="1" applyAlignment="1">
      <alignment horizontal="center" vertical="center" wrapText="1"/>
    </xf>
    <xf numFmtId="14" fontId="0" fillId="5" borderId="0" xfId="0" applyNumberFormat="1" applyFont="1" applyFill="1" applyAlignment="1"/>
    <xf numFmtId="0" fontId="0" fillId="5" borderId="0" xfId="0" applyFont="1" applyFill="1"/>
    <xf numFmtId="0" fontId="0" fillId="5" borderId="0" xfId="0" applyFont="1" applyFill="1" applyAlignment="1">
      <alignment horizontal="center"/>
    </xf>
    <xf numFmtId="0" fontId="0" fillId="5" borderId="0" xfId="0" applyFont="1" applyFill="1" applyAlignment="1">
      <alignment horizontal="center" vertical="center"/>
    </xf>
    <xf numFmtId="0" fontId="1" fillId="5" borderId="0" xfId="0" applyFont="1" applyFill="1" applyAlignment="1">
      <alignment horizontal="center" vertical="center"/>
    </xf>
    <xf numFmtId="0" fontId="14" fillId="5" borderId="0" xfId="0" applyFont="1" applyFill="1" applyAlignment="1">
      <alignment horizontal="center"/>
    </xf>
    <xf numFmtId="0" fontId="0" fillId="5" borderId="0" xfId="0" applyFont="1" applyFill="1" applyAlignment="1">
      <alignment horizontal="center" vertical="center" wrapText="1"/>
    </xf>
    <xf numFmtId="0" fontId="0" fillId="10" borderId="0" xfId="0" applyFont="1" applyFill="1" applyAlignment="1">
      <alignment horizontal="center" vertical="center" wrapText="1"/>
    </xf>
    <xf numFmtId="0" fontId="0" fillId="10" borderId="0" xfId="0" applyFont="1" applyFill="1"/>
    <xf numFmtId="0" fontId="0" fillId="10" borderId="0" xfId="0" applyFont="1" applyFill="1" applyAlignment="1">
      <alignment wrapText="1"/>
    </xf>
    <xf numFmtId="0" fontId="0" fillId="10" borderId="1" xfId="0" applyFont="1" applyFill="1" applyBorder="1" applyAlignment="1">
      <alignment horizontal="center" wrapText="1"/>
    </xf>
    <xf numFmtId="0" fontId="16" fillId="10" borderId="0" xfId="0" applyFont="1" applyFill="1"/>
    <xf numFmtId="169" fontId="0" fillId="10" borderId="0" xfId="0" applyNumberFormat="1" applyFont="1" applyFill="1" applyAlignment="1">
      <alignment horizontal="center"/>
    </xf>
    <xf numFmtId="2" fontId="26" fillId="0" borderId="0" xfId="0" applyNumberFormat="1" applyFont="1" applyAlignment="1">
      <alignment horizontal="right"/>
    </xf>
    <xf numFmtId="2" fontId="4" fillId="0" borderId="0" xfId="0" applyNumberFormat="1" applyFont="1" applyAlignment="1">
      <alignment horizontal="right"/>
    </xf>
    <xf numFmtId="2" fontId="2" fillId="0" borderId="0" xfId="0" applyNumberFormat="1" applyFont="1" applyAlignment="1">
      <alignment horizontal="right"/>
    </xf>
    <xf numFmtId="2" fontId="1" fillId="0" borderId="0" xfId="0" applyNumberFormat="1" applyFont="1" applyAlignment="1">
      <alignment horizontal="right"/>
    </xf>
    <xf numFmtId="2" fontId="28" fillId="0" borderId="0" xfId="0" applyNumberFormat="1" applyFont="1" applyAlignment="1">
      <alignment horizontal="right"/>
    </xf>
    <xf numFmtId="0" fontId="14" fillId="11" borderId="0" xfId="0" applyNumberFormat="1" applyFont="1" applyFill="1"/>
    <xf numFmtId="164" fontId="0" fillId="3" borderId="0" xfId="0" applyNumberFormat="1" applyFont="1" applyFill="1"/>
    <xf numFmtId="2" fontId="28" fillId="0" borderId="0" xfId="0" applyNumberFormat="1" applyFont="1"/>
    <xf numFmtId="2" fontId="2" fillId="0" borderId="0" xfId="0" applyNumberFormat="1" applyFont="1" applyAlignment="1">
      <alignment horizontal="center"/>
    </xf>
    <xf numFmtId="0" fontId="0" fillId="12" borderId="0" xfId="0" applyFill="1" applyAlignment="1">
      <alignment horizontal="center"/>
    </xf>
    <xf numFmtId="0" fontId="0" fillId="13" borderId="0" xfId="0" applyFill="1"/>
    <xf numFmtId="0" fontId="0" fillId="0" borderId="0" xfId="0" applyAlignment="1">
      <alignment horizontal="center" wrapText="1"/>
    </xf>
    <xf numFmtId="0" fontId="35" fillId="0" borderId="0" xfId="0" applyFont="1" applyAlignment="1">
      <alignment horizontal="center" wrapText="1"/>
    </xf>
    <xf numFmtId="0" fontId="0" fillId="0" borderId="4" xfId="0" applyBorder="1" applyAlignment="1">
      <alignment horizontal="center" wrapText="1"/>
    </xf>
    <xf numFmtId="0" fontId="0" fillId="0" borderId="0" xfId="0" applyBorder="1" applyAlignment="1">
      <alignment horizontal="center" wrapText="1"/>
    </xf>
    <xf numFmtId="0" fontId="0" fillId="5" borderId="1" xfId="0" applyFill="1" applyBorder="1" applyAlignment="1">
      <alignment horizontal="center" vertical="center" wrapText="1"/>
    </xf>
    <xf numFmtId="0" fontId="0" fillId="0" borderId="5" xfId="0" applyBorder="1" applyAlignment="1">
      <alignment horizontal="center" vertical="center" wrapText="1"/>
    </xf>
    <xf numFmtId="0" fontId="0" fillId="5" borderId="6" xfId="0" applyFill="1" applyBorder="1" applyAlignment="1">
      <alignment horizontal="center" vertical="center" wrapText="1"/>
    </xf>
    <xf numFmtId="0" fontId="0" fillId="5" borderId="3" xfId="0" applyFill="1" applyBorder="1" applyAlignment="1">
      <alignment horizontal="center" vertical="center" wrapText="1"/>
    </xf>
    <xf numFmtId="0" fontId="0" fillId="5" borderId="0" xfId="0" applyFill="1" applyBorder="1" applyAlignment="1">
      <alignment horizontal="center" vertical="center" wrapText="1"/>
    </xf>
    <xf numFmtId="169" fontId="0" fillId="0" borderId="0" xfId="0" applyNumberFormat="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4" fontId="0" fillId="0" borderId="0" xfId="0" applyNumberFormat="1"/>
    <xf numFmtId="164" fontId="0" fillId="0" borderId="7" xfId="0" applyNumberFormat="1" applyBorder="1" applyAlignment="1">
      <alignment horizontal="center"/>
    </xf>
    <xf numFmtId="164" fontId="0" fillId="0" borderId="8" xfId="0" applyNumberFormat="1" applyBorder="1" applyAlignment="1">
      <alignment horizontal="center"/>
    </xf>
    <xf numFmtId="14" fontId="0" fillId="0" borderId="8" xfId="0" applyNumberFormat="1" applyBorder="1" applyAlignment="1">
      <alignment horizontal="left"/>
    </xf>
    <xf numFmtId="0" fontId="0" fillId="0" borderId="8" xfId="0" applyBorder="1"/>
    <xf numFmtId="0" fontId="0" fillId="0" borderId="9" xfId="0" applyBorder="1"/>
    <xf numFmtId="0" fontId="0" fillId="0" borderId="0" xfId="0" applyBorder="1"/>
    <xf numFmtId="172" fontId="0" fillId="0" borderId="0" xfId="0" applyNumberFormat="1"/>
    <xf numFmtId="14" fontId="0" fillId="0" borderId="0" xfId="0" applyNumberFormat="1" applyAlignment="1">
      <alignment horizontal="left"/>
    </xf>
    <xf numFmtId="164" fontId="0" fillId="0" borderId="10" xfId="0" applyNumberFormat="1" applyBorder="1" applyAlignment="1">
      <alignment horizontal="center"/>
    </xf>
    <xf numFmtId="164" fontId="0" fillId="0" borderId="0" xfId="0" applyNumberFormat="1" applyBorder="1" applyAlignment="1">
      <alignment horizontal="center"/>
    </xf>
    <xf numFmtId="14" fontId="0" fillId="0" borderId="0" xfId="0" applyNumberFormat="1" applyBorder="1" applyAlignment="1">
      <alignment horizontal="left"/>
    </xf>
    <xf numFmtId="0" fontId="0" fillId="0" borderId="11" xfId="0" applyBorder="1"/>
    <xf numFmtId="164" fontId="35" fillId="0" borderId="0" xfId="0" applyNumberFormat="1" applyFont="1" applyBorder="1" applyAlignment="1">
      <alignment horizontal="center"/>
    </xf>
    <xf numFmtId="14" fontId="0" fillId="0" borderId="0" xfId="0" applyNumberFormat="1"/>
    <xf numFmtId="164" fontId="0" fillId="0" borderId="12" xfId="0" applyNumberFormat="1" applyBorder="1" applyAlignment="1">
      <alignment horizontal="center"/>
    </xf>
    <xf numFmtId="164" fontId="0" fillId="0" borderId="13" xfId="0" applyNumberFormat="1" applyBorder="1" applyAlignment="1">
      <alignment horizontal="center"/>
    </xf>
    <xf numFmtId="14" fontId="0" fillId="0" borderId="13" xfId="0" applyNumberFormat="1" applyBorder="1" applyAlignment="1">
      <alignment horizontal="left"/>
    </xf>
    <xf numFmtId="0" fontId="0" fillId="0" borderId="13" xfId="0" applyBorder="1"/>
    <xf numFmtId="164" fontId="0" fillId="0" borderId="14" xfId="0" applyNumberFormat="1" applyBorder="1"/>
    <xf numFmtId="164" fontId="0" fillId="0" borderId="0" xfId="0" applyNumberFormat="1" applyBorder="1"/>
    <xf numFmtId="0" fontId="0" fillId="14" borderId="0" xfId="0" applyFill="1" applyAlignment="1">
      <alignment horizontal="center" vertical="center"/>
    </xf>
    <xf numFmtId="173" fontId="0" fillId="0" borderId="0" xfId="0" applyNumberFormat="1"/>
    <xf numFmtId="2" fontId="0" fillId="0" borderId="0" xfId="0" applyNumberFormat="1"/>
    <xf numFmtId="164" fontId="0" fillId="0" borderId="15" xfId="0" applyNumberFormat="1" applyBorder="1" applyAlignment="1">
      <alignment horizontal="center"/>
    </xf>
    <xf numFmtId="164" fontId="0" fillId="0" borderId="16" xfId="0" applyNumberFormat="1" applyBorder="1" applyAlignment="1">
      <alignment horizontal="center"/>
    </xf>
    <xf numFmtId="14" fontId="0" fillId="0" borderId="16" xfId="0" applyNumberFormat="1" applyBorder="1" applyAlignment="1">
      <alignment horizontal="left"/>
    </xf>
    <xf numFmtId="9" fontId="1" fillId="0" borderId="0" xfId="0" applyNumberFormat="1" applyFont="1" applyAlignment="1">
      <alignment horizontal="center"/>
    </xf>
    <xf numFmtId="164" fontId="1" fillId="0" borderId="0" xfId="0" applyNumberFormat="1" applyFont="1"/>
    <xf numFmtId="0" fontId="1" fillId="0" borderId="0" xfId="0" applyFont="1" applyAlignment="1">
      <alignment horizontal="center"/>
    </xf>
    <xf numFmtId="0" fontId="1" fillId="13" borderId="0" xfId="0" applyFont="1" applyFill="1"/>
    <xf numFmtId="0" fontId="0" fillId="15" borderId="0" xfId="0" applyFill="1"/>
    <xf numFmtId="164" fontId="1" fillId="15" borderId="0" xfId="0" applyNumberFormat="1" applyFont="1" applyFill="1" applyAlignment="1">
      <alignment horizontal="right"/>
    </xf>
    <xf numFmtId="0" fontId="0" fillId="16" borderId="0" xfId="0" applyFill="1" applyAlignment="1">
      <alignment horizontal="center" vertical="center" wrapText="1"/>
    </xf>
    <xf numFmtId="0" fontId="1" fillId="13" borderId="0" xfId="0" applyFont="1" applyFill="1" applyAlignment="1">
      <alignment vertical="center" wrapText="1"/>
    </xf>
    <xf numFmtId="0" fontId="0" fillId="0" borderId="0" xfId="0" quotePrefix="1" applyNumberFormat="1"/>
    <xf numFmtId="0" fontId="0" fillId="16" borderId="0" xfId="0" applyFill="1" applyAlignment="1">
      <alignment horizontal="center"/>
    </xf>
    <xf numFmtId="165" fontId="0" fillId="13" borderId="0" xfId="0" applyNumberFormat="1" applyFill="1"/>
    <xf numFmtId="0" fontId="0" fillId="0" borderId="1" xfId="0" applyNumberFormat="1" applyFont="1" applyBorder="1" applyAlignment="1"/>
    <xf numFmtId="0" fontId="37" fillId="0" borderId="1" xfId="0" applyNumberFormat="1" applyFont="1" applyBorder="1" applyAlignment="1">
      <alignment horizontal="center"/>
    </xf>
    <xf numFmtId="0" fontId="37" fillId="0" borderId="1" xfId="0" applyNumberFormat="1" applyFont="1" applyBorder="1" applyAlignment="1"/>
    <xf numFmtId="0" fontId="0" fillId="0" borderId="1" xfId="0" applyNumberFormat="1" applyFont="1" applyBorder="1" applyAlignment="1">
      <alignment horizontal="center"/>
    </xf>
    <xf numFmtId="0" fontId="0" fillId="0" borderId="1" xfId="0" applyNumberFormat="1" applyFont="1" applyFill="1" applyBorder="1" applyAlignment="1"/>
    <xf numFmtId="0" fontId="0" fillId="0" borderId="1" xfId="0" applyBorder="1" applyAlignment="1">
      <alignment horizontal="center"/>
    </xf>
    <xf numFmtId="0" fontId="0" fillId="0" borderId="4" xfId="0" quotePrefix="1" applyNumberFormat="1" applyBorder="1"/>
    <xf numFmtId="0" fontId="1" fillId="0" borderId="0" xfId="0" applyNumberFormat="1" applyFont="1" applyFill="1" applyBorder="1" applyAlignment="1">
      <alignment wrapText="1"/>
    </xf>
    <xf numFmtId="0" fontId="1" fillId="0" borderId="0" xfId="0" applyNumberFormat="1" applyFont="1" applyAlignment="1">
      <alignment horizontal="center"/>
    </xf>
    <xf numFmtId="0" fontId="0" fillId="11" borderId="0" xfId="0" quotePrefix="1" applyNumberFormat="1" applyFill="1"/>
    <xf numFmtId="0" fontId="0" fillId="11" borderId="0" xfId="0" quotePrefix="1" applyNumberFormat="1" applyFill="1" applyAlignment="1">
      <alignment horizontal="right"/>
    </xf>
    <xf numFmtId="49" fontId="2" fillId="13" borderId="1" xfId="0" applyNumberFormat="1" applyFont="1" applyFill="1" applyBorder="1" applyAlignment="1">
      <alignment horizontal="center" vertical="center" wrapText="1"/>
    </xf>
    <xf numFmtId="49" fontId="2" fillId="13" borderId="0" xfId="0" applyNumberFormat="1" applyFont="1" applyFill="1" applyBorder="1" applyAlignment="1">
      <alignment horizontal="center" vertical="center" wrapText="1"/>
    </xf>
    <xf numFmtId="164" fontId="3" fillId="13" borderId="0" xfId="0" applyNumberFormat="1" applyFont="1" applyFill="1" applyAlignment="1">
      <alignment horizontal="center" vertical="center" wrapText="1"/>
    </xf>
    <xf numFmtId="0" fontId="0" fillId="13" borderId="1" xfId="0" applyFill="1" applyBorder="1" applyAlignment="1">
      <alignment wrapText="1"/>
    </xf>
    <xf numFmtId="0" fontId="0" fillId="13" borderId="0" xfId="0" applyFill="1" applyBorder="1" applyAlignment="1">
      <alignment wrapText="1"/>
    </xf>
    <xf numFmtId="0" fontId="0" fillId="13" borderId="1" xfId="0" applyFill="1" applyBorder="1" applyAlignment="1">
      <alignment horizontal="center" vertical="center" wrapText="1"/>
    </xf>
    <xf numFmtId="164" fontId="3" fillId="2" borderId="0" xfId="0" applyNumberFormat="1" applyFont="1" applyFill="1" applyBorder="1" applyAlignment="1">
      <alignment horizontal="center" vertical="center"/>
    </xf>
    <xf numFmtId="0" fontId="0" fillId="15" borderId="0" xfId="0" applyFont="1" applyFill="1"/>
    <xf numFmtId="0" fontId="0" fillId="15" borderId="0" xfId="0" applyFill="1" applyAlignment="1">
      <alignment horizontal="center" vertical="center"/>
    </xf>
    <xf numFmtId="164" fontId="0" fillId="15" borderId="0" xfId="0" applyNumberFormat="1" applyFill="1" applyAlignment="1">
      <alignment horizontal="center"/>
    </xf>
    <xf numFmtId="2" fontId="0" fillId="15" borderId="0" xfId="0" applyNumberFormat="1" applyFill="1"/>
    <xf numFmtId="14" fontId="0" fillId="15" borderId="0" xfId="0" applyNumberFormat="1" applyFill="1" applyAlignment="1">
      <alignment horizontal="center" vertical="center"/>
    </xf>
    <xf numFmtId="164" fontId="38" fillId="15" borderId="0" xfId="0" applyNumberFormat="1" applyFont="1" applyFill="1" applyAlignment="1">
      <alignment horizontal="center"/>
    </xf>
    <xf numFmtId="0" fontId="0" fillId="0" borderId="0" xfId="0" applyNumberFormat="1" applyFont="1" applyAlignment="1"/>
    <xf numFmtId="165" fontId="0" fillId="15" borderId="0" xfId="0" applyNumberFormat="1" applyFill="1"/>
    <xf numFmtId="49" fontId="2" fillId="15" borderId="1" xfId="0" applyNumberFormat="1" applyFont="1" applyFill="1" applyBorder="1" applyAlignment="1">
      <alignment horizontal="center" vertical="center" wrapText="1"/>
    </xf>
    <xf numFmtId="49" fontId="2" fillId="15" borderId="0" xfId="0" applyNumberFormat="1" applyFont="1" applyFill="1" applyBorder="1" applyAlignment="1">
      <alignment horizontal="center" vertical="center" wrapText="1"/>
    </xf>
    <xf numFmtId="164" fontId="3" fillId="15" borderId="0" xfId="0" applyNumberFormat="1" applyFont="1" applyFill="1" applyAlignment="1">
      <alignment horizontal="center" vertical="center" wrapText="1"/>
    </xf>
    <xf numFmtId="0" fontId="0" fillId="9" borderId="0" xfId="0" applyFill="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164" fontId="0" fillId="19" borderId="1" xfId="0" applyNumberFormat="1" applyFill="1" applyBorder="1" applyAlignment="1">
      <alignment horizontal="center"/>
    </xf>
    <xf numFmtId="14" fontId="0" fillId="9" borderId="0" xfId="0" applyNumberFormat="1" applyFill="1" applyAlignment="1">
      <alignment horizontal="center"/>
    </xf>
    <xf numFmtId="14" fontId="0" fillId="0" borderId="0" xfId="0" applyNumberFormat="1" applyAlignment="1">
      <alignment horizontal="center"/>
    </xf>
    <xf numFmtId="2" fontId="0" fillId="12" borderId="0" xfId="0" applyNumberFormat="1" applyFill="1" applyAlignment="1">
      <alignment horizontal="center"/>
    </xf>
    <xf numFmtId="2" fontId="0" fillId="6" borderId="0" xfId="0" applyNumberFormat="1" applyFill="1" applyAlignment="1">
      <alignment horizontal="center"/>
    </xf>
    <xf numFmtId="2" fontId="0" fillId="0" borderId="0" xfId="0" applyNumberFormat="1" applyAlignment="1">
      <alignment horizontal="center" vertical="center"/>
    </xf>
    <xf numFmtId="0" fontId="0" fillId="6" borderId="0" xfId="0" applyFill="1"/>
    <xf numFmtId="9" fontId="0" fillId="0" borderId="0" xfId="6" applyFont="1" applyAlignment="1">
      <alignment horizontal="center"/>
    </xf>
    <xf numFmtId="0" fontId="0" fillId="9" borderId="0" xfId="0" applyFont="1" applyFill="1" applyAlignment="1">
      <alignment horizontal="center"/>
    </xf>
    <xf numFmtId="0" fontId="0" fillId="6" borderId="0" xfId="0" applyFill="1" applyAlignment="1">
      <alignment horizontal="right"/>
    </xf>
    <xf numFmtId="2" fontId="1" fillId="0" borderId="0" xfId="0" applyNumberFormat="1" applyFont="1" applyAlignment="1">
      <alignment horizontal="center" vertical="center"/>
    </xf>
    <xf numFmtId="164" fontId="5" fillId="20" borderId="0" xfId="0" applyNumberFormat="1" applyFont="1" applyFill="1" applyAlignment="1">
      <alignment horizontal="center"/>
    </xf>
    <xf numFmtId="0" fontId="0" fillId="16" borderId="0" xfId="0" applyFill="1"/>
    <xf numFmtId="0" fontId="4" fillId="18" borderId="0" xfId="0" applyFont="1" applyFill="1" applyAlignment="1">
      <alignment horizontal="center"/>
    </xf>
    <xf numFmtId="0" fontId="0" fillId="18" borderId="0" xfId="0" applyFill="1"/>
    <xf numFmtId="0" fontId="4" fillId="0" borderId="0" xfId="0" applyFont="1" applyFill="1" applyAlignment="1">
      <alignment horizontal="center"/>
    </xf>
    <xf numFmtId="0" fontId="4" fillId="16" borderId="0" xfId="0" applyFont="1" applyFill="1" applyAlignment="1">
      <alignment horizontal="center"/>
    </xf>
    <xf numFmtId="14" fontId="1" fillId="0" borderId="0" xfId="0" applyNumberFormat="1" applyFont="1" applyAlignment="1">
      <alignment horizontal="center"/>
    </xf>
    <xf numFmtId="0" fontId="0" fillId="19" borderId="1" xfId="0" applyFill="1" applyBorder="1" applyAlignment="1">
      <alignment horizontal="center"/>
    </xf>
    <xf numFmtId="0" fontId="0" fillId="0" borderId="0" xfId="0" applyFill="1" applyAlignment="1">
      <alignment horizontal="center"/>
    </xf>
    <xf numFmtId="14" fontId="0" fillId="0" borderId="0" xfId="0" applyNumberFormat="1" applyFill="1" applyAlignment="1">
      <alignment horizontal="center"/>
    </xf>
    <xf numFmtId="0" fontId="0" fillId="9" borderId="0" xfId="0" applyFill="1"/>
    <xf numFmtId="0" fontId="1" fillId="17" borderId="0" xfId="0" applyFont="1" applyFill="1" applyAlignment="1">
      <alignment horizontal="center"/>
    </xf>
    <xf numFmtId="165" fontId="1" fillId="17" borderId="0" xfId="0" applyNumberFormat="1" applyFont="1" applyFill="1" applyAlignment="1">
      <alignment horizontal="center"/>
    </xf>
    <xf numFmtId="164" fontId="0" fillId="0" borderId="0" xfId="0" applyNumberFormat="1" applyAlignment="1">
      <alignment vertical="center"/>
    </xf>
    <xf numFmtId="164" fontId="0" fillId="0" borderId="0" xfId="0" applyNumberFormat="1" applyAlignment="1"/>
    <xf numFmtId="164" fontId="1" fillId="0" borderId="0" xfId="0" applyNumberFormat="1" applyFont="1" applyAlignment="1"/>
    <xf numFmtId="2" fontId="0" fillId="0" borderId="0" xfId="0" applyNumberFormat="1" applyFont="1" applyFill="1" applyAlignment="1">
      <alignment horizontal="center"/>
    </xf>
    <xf numFmtId="2" fontId="14" fillId="0" borderId="0" xfId="0" applyNumberFormat="1" applyFont="1" applyFill="1" applyAlignment="1">
      <alignment horizontal="center"/>
    </xf>
    <xf numFmtId="164" fontId="14" fillId="15" borderId="0" xfId="0" applyNumberFormat="1" applyFont="1" applyFill="1" applyAlignment="1">
      <alignment horizontal="center"/>
    </xf>
    <xf numFmtId="0" fontId="14" fillId="15" borderId="0" xfId="0" applyFont="1" applyFill="1"/>
    <xf numFmtId="0" fontId="14" fillId="15" borderId="0" xfId="0" applyFont="1" applyFill="1" applyAlignment="1">
      <alignment horizontal="center"/>
    </xf>
    <xf numFmtId="0" fontId="0" fillId="0" borderId="0" xfId="0" applyBorder="1" applyAlignment="1">
      <alignment horizontal="right"/>
    </xf>
    <xf numFmtId="0" fontId="0" fillId="0" borderId="13" xfId="0" applyBorder="1" applyAlignment="1">
      <alignment horizontal="right"/>
    </xf>
    <xf numFmtId="0" fontId="0" fillId="0" borderId="8" xfId="0" applyBorder="1" applyAlignment="1">
      <alignment horizontal="right"/>
    </xf>
    <xf numFmtId="0" fontId="0" fillId="0" borderId="16" xfId="0" applyBorder="1" applyAlignment="1">
      <alignment horizontal="right"/>
    </xf>
    <xf numFmtId="14" fontId="0" fillId="0" borderId="0" xfId="0" applyNumberFormat="1" applyAlignment="1">
      <alignment horizontal="right"/>
    </xf>
    <xf numFmtId="164" fontId="0" fillId="10" borderId="0" xfId="0" applyNumberFormat="1" applyFill="1" applyAlignment="1">
      <alignment horizontal="right"/>
    </xf>
    <xf numFmtId="164" fontId="8" fillId="10" borderId="0" xfId="0" applyNumberFormat="1" applyFont="1" applyFill="1"/>
    <xf numFmtId="0" fontId="8" fillId="10" borderId="0" xfId="0" applyFont="1" applyFill="1" applyAlignment="1">
      <alignment horizontal="center"/>
    </xf>
    <xf numFmtId="0" fontId="35" fillId="0" borderId="0" xfId="0" applyFont="1"/>
    <xf numFmtId="2" fontId="35" fillId="0" borderId="0" xfId="0" applyNumberFormat="1" applyFont="1" applyAlignment="1">
      <alignment horizontal="right"/>
    </xf>
    <xf numFmtId="2" fontId="39" fillId="0" borderId="0" xfId="0" applyNumberFormat="1" applyFont="1" applyAlignment="1">
      <alignment horizontal="right"/>
    </xf>
    <xf numFmtId="0" fontId="35" fillId="0" borderId="0" xfId="0" applyFont="1" applyAlignment="1">
      <alignment horizontal="center"/>
    </xf>
    <xf numFmtId="2" fontId="35" fillId="0" borderId="0" xfId="0" applyNumberFormat="1" applyFont="1" applyAlignment="1">
      <alignment horizontal="center"/>
    </xf>
    <xf numFmtId="0" fontId="35" fillId="0" borderId="0" xfId="0" applyFont="1" applyAlignment="1">
      <alignment horizontal="center" vertical="center"/>
    </xf>
    <xf numFmtId="2" fontId="35" fillId="0" borderId="0" xfId="0" applyNumberFormat="1" applyFont="1" applyFill="1" applyAlignment="1">
      <alignment horizontal="center" vertical="center"/>
    </xf>
    <xf numFmtId="2" fontId="35" fillId="0" borderId="0" xfId="0" applyNumberFormat="1" applyFont="1"/>
    <xf numFmtId="164" fontId="35" fillId="0" borderId="0" xfId="0" applyNumberFormat="1" applyFont="1"/>
    <xf numFmtId="0" fontId="35" fillId="0" borderId="0" xfId="0" applyFont="1" applyAlignment="1">
      <alignment horizontal="right"/>
    </xf>
    <xf numFmtId="166" fontId="35" fillId="0" borderId="0" xfId="0" applyNumberFormat="1" applyFont="1"/>
    <xf numFmtId="9" fontId="1" fillId="0" borderId="0" xfId="6" applyFont="1" applyAlignment="1">
      <alignment horizontal="center"/>
    </xf>
    <xf numFmtId="0" fontId="0" fillId="0" borderId="0" xfId="0" applyBorder="1" applyAlignment="1">
      <alignment horizontal="center"/>
    </xf>
    <xf numFmtId="164" fontId="0" fillId="0" borderId="11" xfId="0" applyNumberFormat="1" applyBorder="1"/>
    <xf numFmtId="2" fontId="0" fillId="0" borderId="0" xfId="6" applyNumberFormat="1" applyFont="1" applyBorder="1" applyAlignment="1">
      <alignment horizontal="right"/>
    </xf>
    <xf numFmtId="0" fontId="0" fillId="0" borderId="7" xfId="0" applyBorder="1"/>
    <xf numFmtId="0" fontId="0" fillId="0" borderId="10" xfId="0" applyBorder="1"/>
    <xf numFmtId="0" fontId="0" fillId="0" borderId="10" xfId="0" applyBorder="1" applyAlignment="1">
      <alignment horizontal="center"/>
    </xf>
    <xf numFmtId="0" fontId="0" fillId="0" borderId="11" xfId="0" applyBorder="1" applyAlignment="1">
      <alignment horizontal="center"/>
    </xf>
    <xf numFmtId="2" fontId="0" fillId="0" borderId="10" xfId="6" applyNumberFormat="1" applyFont="1" applyBorder="1" applyAlignment="1">
      <alignment horizontal="right"/>
    </xf>
    <xf numFmtId="2" fontId="0" fillId="0" borderId="11" xfId="6" applyNumberFormat="1" applyFont="1" applyBorder="1" applyAlignment="1">
      <alignment horizontal="right"/>
    </xf>
    <xf numFmtId="164" fontId="0" fillId="0" borderId="12" xfId="0" applyNumberFormat="1" applyBorder="1"/>
    <xf numFmtId="164" fontId="0" fillId="0" borderId="13" xfId="0" applyNumberFormat="1" applyBorder="1"/>
    <xf numFmtId="164" fontId="40" fillId="0" borderId="13" xfId="0" applyNumberFormat="1" applyFont="1" applyBorder="1" applyAlignment="1">
      <alignment horizontal="center"/>
    </xf>
    <xf numFmtId="164" fontId="0" fillId="0" borderId="10" xfId="0" applyNumberFormat="1" applyBorder="1"/>
    <xf numFmtId="164" fontId="0" fillId="0" borderId="16" xfId="0" applyNumberFormat="1" applyBorder="1"/>
    <xf numFmtId="0" fontId="41" fillId="0" borderId="0" xfId="0" applyFont="1"/>
    <xf numFmtId="0" fontId="0" fillId="5" borderId="18" xfId="0" applyFill="1" applyBorder="1" applyAlignment="1">
      <alignment horizontal="center" vertical="center" wrapText="1"/>
    </xf>
    <xf numFmtId="164" fontId="25" fillId="0" borderId="0" xfId="0" applyNumberFormat="1" applyFont="1" applyBorder="1" applyAlignment="1">
      <alignment horizontal="center"/>
    </xf>
    <xf numFmtId="14" fontId="25" fillId="0" borderId="0" xfId="0" applyNumberFormat="1" applyFont="1" applyBorder="1" applyAlignment="1">
      <alignment horizontal="left"/>
    </xf>
    <xf numFmtId="0" fontId="25" fillId="0" borderId="0" xfId="0" applyFont="1" applyFill="1" applyBorder="1" applyAlignment="1">
      <alignment horizontal="right"/>
    </xf>
    <xf numFmtId="164" fontId="25" fillId="0" borderId="0" xfId="0" applyNumberFormat="1" applyFont="1" applyBorder="1"/>
    <xf numFmtId="0" fontId="0" fillId="0" borderId="0" xfId="0" applyFill="1"/>
    <xf numFmtId="0" fontId="0" fillId="21" borderId="10" xfId="0" applyFill="1" applyBorder="1"/>
    <xf numFmtId="0" fontId="0" fillId="21" borderId="0" xfId="0" applyFill="1" applyBorder="1" applyAlignment="1">
      <alignment horizontal="center"/>
    </xf>
    <xf numFmtId="0" fontId="0" fillId="21" borderId="12" xfId="0" applyFill="1" applyBorder="1"/>
    <xf numFmtId="0" fontId="0" fillId="21" borderId="13" xfId="0" applyFill="1" applyBorder="1" applyAlignment="1">
      <alignment horizontal="center"/>
    </xf>
    <xf numFmtId="0" fontId="0" fillId="5" borderId="2" xfId="0" applyFill="1" applyBorder="1" applyAlignment="1">
      <alignment horizontal="center" vertical="center" wrapText="1"/>
    </xf>
    <xf numFmtId="0" fontId="0" fillId="21" borderId="11" xfId="0" applyFill="1" applyBorder="1" applyAlignment="1">
      <alignment horizontal="center"/>
    </xf>
    <xf numFmtId="0" fontId="0" fillId="21" borderId="14" xfId="0" applyFill="1" applyBorder="1" applyAlignment="1">
      <alignment horizontal="center"/>
    </xf>
    <xf numFmtId="0" fontId="0" fillId="14" borderId="0" xfId="0" applyFill="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171" fontId="0" fillId="0" borderId="11" xfId="6" applyNumberFormat="1" applyFont="1" applyBorder="1" applyAlignment="1">
      <alignment horizontal="center"/>
    </xf>
    <xf numFmtId="171" fontId="0" fillId="0" borderId="14" xfId="6" applyNumberFormat="1" applyFont="1" applyBorder="1" applyAlignment="1">
      <alignment horizontal="center"/>
    </xf>
    <xf numFmtId="0" fontId="0" fillId="21" borderId="21" xfId="0" applyFill="1" applyBorder="1"/>
    <xf numFmtId="0" fontId="0" fillId="21" borderId="22" xfId="0" applyFill="1" applyBorder="1" applyAlignment="1">
      <alignment horizontal="center"/>
    </xf>
    <xf numFmtId="0" fontId="0" fillId="21" borderId="22" xfId="0" applyFill="1" applyBorder="1" applyAlignment="1">
      <alignment horizontal="center" vertical="center"/>
    </xf>
    <xf numFmtId="169" fontId="0" fillId="21" borderId="22" xfId="0" applyNumberFormat="1" applyFill="1" applyBorder="1" applyAlignment="1">
      <alignment horizontal="center"/>
    </xf>
    <xf numFmtId="164" fontId="0" fillId="21" borderId="22" xfId="0" applyNumberFormat="1" applyFill="1" applyBorder="1" applyAlignment="1">
      <alignment horizontal="center"/>
    </xf>
    <xf numFmtId="169" fontId="0" fillId="21" borderId="22" xfId="0" applyNumberFormat="1" applyFont="1" applyFill="1" applyBorder="1" applyAlignment="1">
      <alignment horizontal="center"/>
    </xf>
    <xf numFmtId="2" fontId="0" fillId="21" borderId="22" xfId="0" applyNumberFormat="1" applyFill="1" applyBorder="1" applyAlignment="1">
      <alignment horizontal="center"/>
    </xf>
    <xf numFmtId="0" fontId="0" fillId="21" borderId="22" xfId="0" applyFill="1" applyBorder="1"/>
    <xf numFmtId="165" fontId="0" fillId="21" borderId="22" xfId="0" applyNumberFormat="1" applyFill="1" applyBorder="1" applyAlignment="1">
      <alignment horizontal="right"/>
    </xf>
    <xf numFmtId="2" fontId="0" fillId="21" borderId="22" xfId="0" applyNumberFormat="1" applyFill="1" applyBorder="1" applyAlignment="1">
      <alignment horizontal="right"/>
    </xf>
    <xf numFmtId="164" fontId="0" fillId="21" borderId="22" xfId="0" applyNumberFormat="1" applyFill="1" applyBorder="1" applyAlignment="1">
      <alignment horizontal="right"/>
    </xf>
    <xf numFmtId="0" fontId="0" fillId="21" borderId="22" xfId="0" applyFill="1" applyBorder="1" applyAlignment="1">
      <alignment horizontal="right"/>
    </xf>
    <xf numFmtId="0" fontId="0" fillId="21" borderId="23" xfId="0" applyFill="1" applyBorder="1"/>
    <xf numFmtId="0" fontId="0" fillId="21" borderId="0" xfId="0" applyFill="1" applyBorder="1" applyAlignment="1">
      <alignment horizontal="center" vertical="center"/>
    </xf>
    <xf numFmtId="169" fontId="0" fillId="21" borderId="0" xfId="0" applyNumberFormat="1" applyFill="1" applyBorder="1" applyAlignment="1">
      <alignment horizontal="center"/>
    </xf>
    <xf numFmtId="164" fontId="0" fillId="21" borderId="0" xfId="0" applyNumberFormat="1" applyFill="1" applyBorder="1" applyAlignment="1">
      <alignment horizontal="center"/>
    </xf>
    <xf numFmtId="169" fontId="0" fillId="21" borderId="0" xfId="0" applyNumberFormat="1" applyFont="1" applyFill="1" applyBorder="1" applyAlignment="1">
      <alignment horizontal="center"/>
    </xf>
    <xf numFmtId="2" fontId="0" fillId="21" borderId="0" xfId="0" applyNumberFormat="1" applyFill="1" applyBorder="1" applyAlignment="1">
      <alignment horizontal="center"/>
    </xf>
    <xf numFmtId="0" fontId="0" fillId="21" borderId="0" xfId="0" applyFill="1" applyBorder="1"/>
    <xf numFmtId="165" fontId="0" fillId="21" borderId="0" xfId="0" applyNumberFormat="1" applyFill="1" applyBorder="1" applyAlignment="1">
      <alignment horizontal="right"/>
    </xf>
    <xf numFmtId="2" fontId="0" fillId="21" borderId="0" xfId="0" applyNumberFormat="1" applyFill="1" applyBorder="1" applyAlignment="1">
      <alignment horizontal="right"/>
    </xf>
    <xf numFmtId="164" fontId="0" fillId="21" borderId="0" xfId="0" applyNumberFormat="1" applyFill="1" applyBorder="1" applyAlignment="1">
      <alignment horizontal="right"/>
    </xf>
    <xf numFmtId="0" fontId="0" fillId="21" borderId="0" xfId="0" applyFill="1" applyBorder="1" applyAlignment="1">
      <alignment horizontal="right"/>
    </xf>
    <xf numFmtId="0" fontId="0" fillId="0" borderId="23" xfId="0" applyBorder="1"/>
    <xf numFmtId="169" fontId="0" fillId="0" borderId="0" xfId="0" applyNumberFormat="1" applyBorder="1" applyAlignment="1">
      <alignment horizontal="center"/>
    </xf>
    <xf numFmtId="164" fontId="0" fillId="0" borderId="0" xfId="0" applyNumberFormat="1" applyBorder="1" applyAlignment="1">
      <alignment horizontal="right"/>
    </xf>
    <xf numFmtId="2" fontId="0" fillId="0" borderId="0" xfId="0" applyNumberFormat="1" applyBorder="1" applyAlignment="1">
      <alignment horizontal="right"/>
    </xf>
    <xf numFmtId="0" fontId="0" fillId="0" borderId="23" xfId="0" applyFill="1" applyBorder="1"/>
    <xf numFmtId="0" fontId="0" fillId="0" borderId="0" xfId="0" applyBorder="1" applyAlignment="1">
      <alignment horizontal="center" vertical="center"/>
    </xf>
    <xf numFmtId="2" fontId="0" fillId="0" borderId="0" xfId="0" applyNumberFormat="1" applyBorder="1" applyAlignment="1">
      <alignment horizontal="center"/>
    </xf>
    <xf numFmtId="0" fontId="0" fillId="0" borderId="0" xfId="0" applyFill="1" applyBorder="1"/>
    <xf numFmtId="165" fontId="0" fillId="0" borderId="0" xfId="0" applyNumberFormat="1" applyBorder="1" applyAlignment="1">
      <alignment horizontal="right"/>
    </xf>
    <xf numFmtId="0" fontId="0" fillId="14" borderId="0" xfId="0" applyFill="1" applyBorder="1" applyAlignment="1">
      <alignment horizontal="center" vertical="center"/>
    </xf>
    <xf numFmtId="0" fontId="0" fillId="22" borderId="23" xfId="0" applyFill="1" applyBorder="1"/>
    <xf numFmtId="0" fontId="0" fillId="22" borderId="0" xfId="0" applyFill="1" applyBorder="1" applyAlignment="1">
      <alignment horizontal="center"/>
    </xf>
    <xf numFmtId="0" fontId="0" fillId="22" borderId="0" xfId="0" applyFill="1" applyBorder="1" applyAlignment="1">
      <alignment horizontal="center" vertical="center"/>
    </xf>
    <xf numFmtId="169" fontId="0" fillId="22" borderId="0" xfId="0" applyNumberFormat="1" applyFill="1" applyBorder="1" applyAlignment="1">
      <alignment horizontal="center"/>
    </xf>
    <xf numFmtId="164" fontId="0" fillId="22" borderId="0" xfId="0" applyNumberFormat="1" applyFill="1" applyBorder="1" applyAlignment="1">
      <alignment horizontal="center"/>
    </xf>
    <xf numFmtId="169" fontId="0" fillId="22" borderId="0" xfId="0" applyNumberFormat="1" applyFont="1" applyFill="1" applyBorder="1" applyAlignment="1">
      <alignment horizontal="center"/>
    </xf>
    <xf numFmtId="2" fontId="0" fillId="22" borderId="0" xfId="0" applyNumberFormat="1" applyFill="1" applyBorder="1" applyAlignment="1">
      <alignment horizontal="center"/>
    </xf>
    <xf numFmtId="0" fontId="0" fillId="22" borderId="0" xfId="0" applyFill="1" applyBorder="1"/>
    <xf numFmtId="165" fontId="0" fillId="22" borderId="0" xfId="0" applyNumberFormat="1" applyFill="1" applyBorder="1" applyAlignment="1">
      <alignment horizontal="right"/>
    </xf>
    <xf numFmtId="2" fontId="0" fillId="22" borderId="0" xfId="0" applyNumberFormat="1" applyFill="1" applyBorder="1" applyAlignment="1">
      <alignment horizontal="right"/>
    </xf>
    <xf numFmtId="164" fontId="0" fillId="22" borderId="0" xfId="0" applyNumberFormat="1" applyFill="1" applyBorder="1" applyAlignment="1">
      <alignment horizontal="right"/>
    </xf>
    <xf numFmtId="0" fontId="0" fillId="22" borderId="0" xfId="0" applyFill="1" applyBorder="1" applyAlignment="1">
      <alignment horizontal="right"/>
    </xf>
    <xf numFmtId="0" fontId="0" fillId="21" borderId="24" xfId="0" applyFill="1" applyBorder="1"/>
    <xf numFmtId="0" fontId="0" fillId="21" borderId="4" xfId="0" applyFill="1" applyBorder="1" applyAlignment="1">
      <alignment horizontal="center"/>
    </xf>
    <xf numFmtId="0" fontId="0" fillId="14" borderId="4" xfId="0" applyFill="1" applyBorder="1" applyAlignment="1">
      <alignment horizontal="center" vertical="center"/>
    </xf>
    <xf numFmtId="169" fontId="0" fillId="21" borderId="4" xfId="0" applyNumberFormat="1" applyFill="1" applyBorder="1" applyAlignment="1">
      <alignment horizontal="center"/>
    </xf>
    <xf numFmtId="164" fontId="0" fillId="21" borderId="4" xfId="0" applyNumberFormat="1" applyFill="1" applyBorder="1" applyAlignment="1">
      <alignment horizontal="center"/>
    </xf>
    <xf numFmtId="169" fontId="0" fillId="21" borderId="4" xfId="0" applyNumberFormat="1" applyFont="1" applyFill="1" applyBorder="1" applyAlignment="1">
      <alignment horizontal="center"/>
    </xf>
    <xf numFmtId="2" fontId="0" fillId="21" borderId="4" xfId="0" applyNumberFormat="1" applyFill="1" applyBorder="1" applyAlignment="1">
      <alignment horizontal="center"/>
    </xf>
    <xf numFmtId="0" fontId="0" fillId="21" borderId="4" xfId="0" applyFill="1" applyBorder="1"/>
    <xf numFmtId="165" fontId="0" fillId="21" borderId="4" xfId="0" applyNumberFormat="1" applyFill="1" applyBorder="1" applyAlignment="1">
      <alignment horizontal="right"/>
    </xf>
    <xf numFmtId="2" fontId="0" fillId="21" borderId="4" xfId="0" applyNumberFormat="1" applyFill="1" applyBorder="1" applyAlignment="1">
      <alignment horizontal="right"/>
    </xf>
    <xf numFmtId="164" fontId="0" fillId="21" borderId="4" xfId="0" applyNumberFormat="1" applyFill="1" applyBorder="1" applyAlignment="1">
      <alignment horizontal="right"/>
    </xf>
    <xf numFmtId="0" fontId="0" fillId="21" borderId="4" xfId="0" applyFill="1" applyBorder="1" applyAlignment="1">
      <alignment horizontal="right"/>
    </xf>
    <xf numFmtId="164" fontId="0" fillId="0" borderId="0" xfId="0" applyNumberFormat="1" applyFill="1"/>
    <xf numFmtId="0" fontId="1" fillId="0" borderId="0" xfId="0" applyFont="1" applyFill="1" applyAlignment="1">
      <alignment horizontal="right"/>
    </xf>
    <xf numFmtId="164" fontId="1" fillId="0" borderId="0" xfId="0" applyNumberFormat="1" applyFont="1" applyFill="1" applyAlignment="1">
      <alignment horizontal="right"/>
    </xf>
    <xf numFmtId="0" fontId="0" fillId="23" borderId="7" xfId="0" applyFill="1" applyBorder="1"/>
    <xf numFmtId="0" fontId="0" fillId="23" borderId="8" xfId="0" applyFill="1" applyBorder="1"/>
    <xf numFmtId="0" fontId="0" fillId="23" borderId="0" xfId="0" applyFill="1"/>
    <xf numFmtId="0" fontId="0" fillId="23" borderId="0" xfId="0" applyFill="1" applyAlignment="1">
      <alignment horizontal="center"/>
    </xf>
    <xf numFmtId="0" fontId="1" fillId="23" borderId="12" xfId="0" applyFont="1" applyFill="1" applyBorder="1"/>
    <xf numFmtId="0" fontId="1" fillId="23" borderId="13" xfId="0" applyFont="1" applyFill="1" applyBorder="1" applyAlignment="1">
      <alignment horizontal="center"/>
    </xf>
    <xf numFmtId="0" fontId="1" fillId="23" borderId="14" xfId="0" applyFont="1" applyFill="1" applyBorder="1" applyAlignment="1">
      <alignment horizontal="center"/>
    </xf>
    <xf numFmtId="0" fontId="0" fillId="23" borderId="10" xfId="0" applyFill="1" applyBorder="1"/>
    <xf numFmtId="0" fontId="0" fillId="23" borderId="0" xfId="0" applyFill="1" applyBorder="1" applyAlignment="1">
      <alignment horizontal="center"/>
    </xf>
    <xf numFmtId="0" fontId="0" fillId="23" borderId="11" xfId="0" applyFill="1" applyBorder="1" applyAlignment="1">
      <alignment horizontal="center"/>
    </xf>
    <xf numFmtId="0" fontId="0" fillId="23" borderId="12" xfId="0" applyFill="1" applyBorder="1"/>
    <xf numFmtId="0" fontId="0" fillId="23" borderId="13" xfId="0" applyFill="1" applyBorder="1" applyAlignment="1">
      <alignment horizontal="center"/>
    </xf>
    <xf numFmtId="0" fontId="0" fillId="23" borderId="14" xfId="0" applyFill="1" applyBorder="1" applyAlignment="1">
      <alignment horizontal="center"/>
    </xf>
    <xf numFmtId="0" fontId="0" fillId="23" borderId="0" xfId="0" applyFill="1" applyBorder="1"/>
    <xf numFmtId="0" fontId="1" fillId="23" borderId="7" xfId="0" applyFont="1" applyFill="1" applyBorder="1"/>
    <xf numFmtId="0" fontId="0" fillId="23" borderId="9" xfId="0" applyFill="1" applyBorder="1"/>
    <xf numFmtId="0" fontId="1" fillId="23" borderId="15" xfId="0" applyFont="1" applyFill="1" applyBorder="1" applyAlignment="1">
      <alignment horizontal="left"/>
    </xf>
    <xf numFmtId="0" fontId="0" fillId="23" borderId="16" xfId="0" applyFill="1" applyBorder="1"/>
    <xf numFmtId="0" fontId="0" fillId="23" borderId="17" xfId="0" applyFill="1" applyBorder="1"/>
    <xf numFmtId="0" fontId="0" fillId="23" borderId="10" xfId="0" applyFill="1" applyBorder="1" applyAlignment="1"/>
    <xf numFmtId="0" fontId="1" fillId="23" borderId="11" xfId="0" applyFont="1" applyFill="1" applyBorder="1" applyAlignment="1">
      <alignment horizontal="center"/>
    </xf>
    <xf numFmtId="2" fontId="1" fillId="23" borderId="0" xfId="0" applyNumberFormat="1" applyFont="1" applyFill="1" applyAlignment="1">
      <alignment horizontal="right"/>
    </xf>
    <xf numFmtId="0" fontId="0" fillId="23" borderId="15" xfId="0" applyFill="1" applyBorder="1"/>
    <xf numFmtId="14" fontId="0" fillId="23" borderId="16" xfId="0" applyNumberFormat="1" applyFill="1" applyBorder="1" applyAlignment="1">
      <alignment horizontal="center"/>
    </xf>
    <xf numFmtId="0" fontId="0" fillId="23" borderId="13" xfId="0" applyFill="1" applyBorder="1"/>
    <xf numFmtId="14" fontId="0" fillId="23" borderId="13" xfId="0" applyNumberFormat="1" applyFill="1" applyBorder="1" applyAlignment="1">
      <alignment horizontal="center"/>
    </xf>
    <xf numFmtId="0" fontId="0" fillId="5" borderId="25" xfId="0" applyFill="1" applyBorder="1" applyAlignment="1">
      <alignment horizontal="center" vertical="center" wrapText="1"/>
    </xf>
    <xf numFmtId="0" fontId="0" fillId="5" borderId="26" xfId="0" applyFill="1" applyBorder="1" applyAlignment="1">
      <alignment horizontal="center" vertical="center" wrapText="1"/>
    </xf>
    <xf numFmtId="0" fontId="0" fillId="21" borderId="27" xfId="0" applyFill="1" applyBorder="1"/>
    <xf numFmtId="164" fontId="0" fillId="21" borderId="28" xfId="0" applyNumberFormat="1" applyFill="1" applyBorder="1" applyAlignment="1">
      <alignment horizontal="right"/>
    </xf>
    <xf numFmtId="164" fontId="0" fillId="21" borderId="11" xfId="0" applyNumberFormat="1" applyFill="1" applyBorder="1" applyAlignment="1">
      <alignment horizontal="right"/>
    </xf>
    <xf numFmtId="164" fontId="0" fillId="0" borderId="11" xfId="0" applyNumberFormat="1" applyBorder="1" applyAlignment="1">
      <alignment horizontal="right"/>
    </xf>
    <xf numFmtId="0" fontId="0" fillId="0" borderId="10" xfId="0" applyFill="1" applyBorder="1"/>
    <xf numFmtId="0" fontId="0" fillId="22" borderId="10" xfId="0" applyFill="1" applyBorder="1"/>
    <xf numFmtId="164" fontId="0" fillId="22" borderId="11" xfId="0" applyNumberFormat="1" applyFill="1" applyBorder="1" applyAlignment="1">
      <alignment horizontal="right"/>
    </xf>
    <xf numFmtId="0" fontId="0" fillId="21" borderId="29" xfId="0" applyFill="1" applyBorder="1"/>
    <xf numFmtId="164" fontId="0" fillId="21" borderId="30" xfId="0" applyNumberFormat="1" applyFill="1" applyBorder="1" applyAlignment="1">
      <alignment horizontal="right"/>
    </xf>
    <xf numFmtId="0" fontId="0" fillId="23" borderId="0" xfId="0" applyFill="1" applyBorder="1" applyAlignment="1">
      <alignment horizontal="right"/>
    </xf>
    <xf numFmtId="2" fontId="1" fillId="23" borderId="0" xfId="0" applyNumberFormat="1" applyFont="1" applyFill="1" applyBorder="1" applyAlignment="1">
      <alignment horizontal="right"/>
    </xf>
    <xf numFmtId="0" fontId="0" fillId="23" borderId="11" xfId="0" applyFill="1" applyBorder="1"/>
    <xf numFmtId="2" fontId="0" fillId="23" borderId="10" xfId="0" applyNumberFormat="1" applyFill="1" applyBorder="1" applyAlignment="1">
      <alignment horizontal="center"/>
    </xf>
    <xf numFmtId="2" fontId="0" fillId="23" borderId="0" xfId="0" applyNumberFormat="1" applyFill="1" applyBorder="1" applyAlignment="1">
      <alignment horizontal="center"/>
    </xf>
    <xf numFmtId="165" fontId="0" fillId="23" borderId="0" xfId="0" applyNumberFormat="1" applyFill="1" applyBorder="1" applyAlignment="1">
      <alignment horizontal="right"/>
    </xf>
    <xf numFmtId="164" fontId="0" fillId="23" borderId="0" xfId="0" applyNumberFormat="1" applyFill="1" applyBorder="1" applyAlignment="1">
      <alignment horizontal="right"/>
    </xf>
    <xf numFmtId="0" fontId="1" fillId="23" borderId="0" xfId="0" applyFont="1" applyFill="1" applyBorder="1"/>
    <xf numFmtId="0" fontId="0" fillId="23" borderId="12" xfId="0" applyFill="1" applyBorder="1" applyAlignment="1">
      <alignment horizontal="center"/>
    </xf>
    <xf numFmtId="170" fontId="14" fillId="21" borderId="27" xfId="0" applyNumberFormat="1" applyFont="1" applyFill="1" applyBorder="1" applyAlignment="1">
      <alignment horizontal="center"/>
    </xf>
    <xf numFmtId="164" fontId="0" fillId="21" borderId="28" xfId="0" applyNumberFormat="1" applyFill="1" applyBorder="1" applyAlignment="1">
      <alignment horizontal="center"/>
    </xf>
    <xf numFmtId="170" fontId="0" fillId="21" borderId="10" xfId="0" applyNumberFormat="1" applyFill="1" applyBorder="1" applyAlignment="1">
      <alignment horizontal="center"/>
    </xf>
    <xf numFmtId="164" fontId="0" fillId="21" borderId="11" xfId="0" applyNumberFormat="1" applyFill="1" applyBorder="1" applyAlignment="1">
      <alignment horizontal="center"/>
    </xf>
    <xf numFmtId="170" fontId="0" fillId="0" borderId="10" xfId="0" applyNumberFormat="1" applyBorder="1" applyAlignment="1">
      <alignment horizontal="center"/>
    </xf>
    <xf numFmtId="164" fontId="0" fillId="0" borderId="11" xfId="0" applyNumberFormat="1" applyBorder="1" applyAlignment="1">
      <alignment horizontal="center"/>
    </xf>
    <xf numFmtId="170" fontId="14" fillId="0" borderId="10" xfId="0" applyNumberFormat="1" applyFont="1" applyFill="1" applyBorder="1" applyAlignment="1">
      <alignment horizontal="center"/>
    </xf>
    <xf numFmtId="170" fontId="4" fillId="0" borderId="10" xfId="0" applyNumberFormat="1" applyFont="1" applyFill="1" applyBorder="1" applyAlignment="1">
      <alignment horizontal="center"/>
    </xf>
    <xf numFmtId="170" fontId="0" fillId="22" borderId="10" xfId="0" applyNumberFormat="1" applyFill="1" applyBorder="1" applyAlignment="1">
      <alignment horizontal="center"/>
    </xf>
    <xf numFmtId="164" fontId="0" fillId="22" borderId="11" xfId="0" applyNumberFormat="1" applyFill="1" applyBorder="1" applyAlignment="1">
      <alignment horizontal="center"/>
    </xf>
    <xf numFmtId="170" fontId="14" fillId="21" borderId="29" xfId="0" applyNumberFormat="1" applyFont="1" applyFill="1" applyBorder="1" applyAlignment="1">
      <alignment horizontal="center"/>
    </xf>
    <xf numFmtId="164" fontId="0" fillId="21" borderId="30" xfId="0" applyNumberFormat="1" applyFill="1" applyBorder="1" applyAlignment="1">
      <alignment horizontal="center"/>
    </xf>
    <xf numFmtId="164" fontId="1" fillId="23" borderId="0" xfId="0" applyNumberFormat="1" applyFont="1" applyFill="1" applyBorder="1" applyAlignment="1">
      <alignment horizontal="right"/>
    </xf>
    <xf numFmtId="2" fontId="0" fillId="23" borderId="11" xfId="0" applyNumberFormat="1" applyFill="1" applyBorder="1" applyAlignment="1">
      <alignment horizontal="center"/>
    </xf>
    <xf numFmtId="0" fontId="0" fillId="23" borderId="8" xfId="0" applyFill="1" applyBorder="1" applyAlignment="1">
      <alignment horizontal="center"/>
    </xf>
    <xf numFmtId="0" fontId="1" fillId="23" borderId="10" xfId="0" applyNumberFormat="1" applyFont="1" applyFill="1" applyBorder="1" applyAlignment="1">
      <alignment wrapText="1"/>
    </xf>
    <xf numFmtId="2" fontId="1" fillId="23" borderId="13" xfId="0" applyNumberFormat="1" applyFont="1" applyFill="1" applyBorder="1"/>
    <xf numFmtId="0" fontId="0" fillId="23" borderId="14" xfId="0" applyFill="1" applyBorder="1"/>
    <xf numFmtId="2" fontId="1" fillId="23" borderId="13" xfId="0" applyNumberFormat="1" applyFont="1" applyFill="1" applyBorder="1" applyAlignment="1">
      <alignment horizontal="right"/>
    </xf>
    <xf numFmtId="0" fontId="0" fillId="23" borderId="8" xfId="0" applyFill="1" applyBorder="1" applyAlignment="1">
      <alignment horizontal="right"/>
    </xf>
    <xf numFmtId="2" fontId="1" fillId="23" borderId="8" xfId="0" applyNumberFormat="1" applyFont="1" applyFill="1" applyBorder="1"/>
    <xf numFmtId="0" fontId="8" fillId="8" borderId="0" xfId="0" applyFont="1" applyFill="1" applyAlignment="1"/>
    <xf numFmtId="0" fontId="0" fillId="0" borderId="4" xfId="0" applyBorder="1" applyAlignment="1">
      <alignment horizontal="center" wrapText="1"/>
    </xf>
    <xf numFmtId="0" fontId="1" fillId="23" borderId="0" xfId="0" applyFont="1" applyFill="1" applyBorder="1" applyAlignment="1">
      <alignment horizontal="center"/>
    </xf>
    <xf numFmtId="0" fontId="0" fillId="5" borderId="31" xfId="0" applyFill="1" applyBorder="1" applyAlignment="1">
      <alignment horizontal="center" vertical="center" wrapText="1"/>
    </xf>
    <xf numFmtId="0" fontId="0" fillId="21" borderId="1" xfId="0" applyFill="1" applyBorder="1"/>
    <xf numFmtId="0" fontId="0" fillId="21" borderId="1" xfId="0" applyFill="1" applyBorder="1" applyAlignment="1">
      <alignment horizontal="center"/>
    </xf>
    <xf numFmtId="0" fontId="0" fillId="21" borderId="1" xfId="0" applyFill="1" applyBorder="1" applyAlignment="1">
      <alignment horizontal="center" vertical="center"/>
    </xf>
    <xf numFmtId="164" fontId="0" fillId="21" borderId="1" xfId="0" applyNumberFormat="1" applyFill="1" applyBorder="1" applyAlignment="1">
      <alignment horizontal="center"/>
    </xf>
    <xf numFmtId="169" fontId="0" fillId="21" borderId="1" xfId="0" applyNumberFormat="1" applyFill="1" applyBorder="1" applyAlignment="1">
      <alignment horizontal="center"/>
    </xf>
    <xf numFmtId="0" fontId="0" fillId="0" borderId="1" xfId="0" applyBorder="1"/>
    <xf numFmtId="169" fontId="0" fillId="0" borderId="1" xfId="0" applyNumberFormat="1" applyBorder="1" applyAlignment="1">
      <alignment horizontal="center"/>
    </xf>
    <xf numFmtId="0" fontId="0" fillId="0" borderId="1" xfId="0" applyFill="1" applyBorder="1"/>
    <xf numFmtId="0" fontId="0" fillId="0" borderId="1" xfId="0" applyBorder="1" applyAlignment="1">
      <alignment horizontal="center" vertical="center"/>
    </xf>
    <xf numFmtId="164" fontId="0" fillId="0" borderId="1" xfId="0" applyNumberFormat="1" applyBorder="1" applyAlignment="1">
      <alignment horizontal="center"/>
    </xf>
    <xf numFmtId="0" fontId="0" fillId="22" borderId="1" xfId="0" applyFill="1" applyBorder="1"/>
    <xf numFmtId="0" fontId="0" fillId="22" borderId="1" xfId="0" applyFill="1" applyBorder="1" applyAlignment="1">
      <alignment horizontal="center"/>
    </xf>
    <xf numFmtId="164" fontId="0" fillId="22" borderId="1" xfId="0" applyNumberFormat="1" applyFill="1" applyBorder="1" applyAlignment="1">
      <alignment horizontal="center"/>
    </xf>
    <xf numFmtId="169" fontId="0" fillId="22" borderId="1" xfId="0" applyNumberFormat="1" applyFill="1" applyBorder="1" applyAlignment="1">
      <alignment horizontal="center"/>
    </xf>
    <xf numFmtId="14" fontId="0" fillId="0" borderId="1" xfId="0" applyNumberFormat="1" applyBorder="1" applyAlignment="1">
      <alignment horizontal="center"/>
    </xf>
    <xf numFmtId="49" fontId="2" fillId="8" borderId="0" xfId="0" applyNumberFormat="1" applyFont="1" applyFill="1" applyAlignment="1">
      <alignment horizontal="center" vertical="center" wrapText="1"/>
    </xf>
    <xf numFmtId="49" fontId="7" fillId="2" borderId="0" xfId="0" applyNumberFormat="1" applyFont="1" applyFill="1" applyAlignment="1">
      <alignment horizontal="center" vertical="center"/>
    </xf>
    <xf numFmtId="0" fontId="1" fillId="17" borderId="0" xfId="0" applyFont="1" applyFill="1" applyAlignment="1">
      <alignment horizontal="center"/>
    </xf>
    <xf numFmtId="0" fontId="1" fillId="18" borderId="0" xfId="0" applyFont="1" applyFill="1" applyAlignment="1">
      <alignment horizontal="center"/>
    </xf>
    <xf numFmtId="0" fontId="1" fillId="23" borderId="8" xfId="0" applyFont="1" applyFill="1" applyBorder="1" applyAlignment="1">
      <alignment horizontal="center"/>
    </xf>
    <xf numFmtId="0" fontId="1" fillId="23" borderId="9" xfId="0" applyFont="1" applyFill="1" applyBorder="1" applyAlignment="1">
      <alignment horizontal="center"/>
    </xf>
    <xf numFmtId="0" fontId="1" fillId="12" borderId="15"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23" borderId="7" xfId="0" applyFont="1" applyFill="1" applyBorder="1" applyAlignment="1">
      <alignment horizontal="center" vertical="center" wrapText="1"/>
    </xf>
    <xf numFmtId="0" fontId="1" fillId="23" borderId="12" xfId="0" applyFont="1" applyFill="1" applyBorder="1" applyAlignment="1">
      <alignment horizontal="center" vertical="center" wrapText="1"/>
    </xf>
    <xf numFmtId="0" fontId="0" fillId="0" borderId="4" xfId="0" applyBorder="1" applyAlignment="1">
      <alignment horizontal="center" wrapText="1"/>
    </xf>
    <xf numFmtId="0" fontId="0" fillId="5" borderId="1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1" fillId="13" borderId="15"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7" xfId="0" applyFont="1" applyFill="1" applyBorder="1" applyAlignment="1">
      <alignment horizontal="center" vertical="center"/>
    </xf>
    <xf numFmtId="0" fontId="1" fillId="9" borderId="15"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12" borderId="10" xfId="0" applyFont="1" applyFill="1" applyBorder="1" applyAlignment="1">
      <alignment horizontal="center" vertical="center"/>
    </xf>
    <xf numFmtId="0" fontId="1" fillId="12" borderId="0" xfId="0" applyFont="1" applyFill="1" applyBorder="1" applyAlignment="1">
      <alignment horizontal="center" vertical="center"/>
    </xf>
    <xf numFmtId="0" fontId="0" fillId="24" borderId="7" xfId="0" applyFill="1" applyBorder="1" applyAlignment="1">
      <alignment horizontal="center" vertical="center"/>
    </xf>
    <xf numFmtId="0" fontId="0" fillId="24" borderId="8" xfId="0" applyFill="1" applyBorder="1" applyAlignment="1">
      <alignment horizontal="center" vertical="center"/>
    </xf>
    <xf numFmtId="0" fontId="0" fillId="24" borderId="9" xfId="0" applyFill="1" applyBorder="1" applyAlignment="1">
      <alignment horizontal="center" vertical="center"/>
    </xf>
  </cellXfs>
  <cellStyles count="7">
    <cellStyle name="Lien hypertexte" xfId="2" builtinId="8" hidden="1"/>
    <cellStyle name="Lien hypertexte" xfId="4" builtinId="8" hidden="1"/>
    <cellStyle name="Lien hypertexte visité" xfId="3" builtinId="9" hidden="1"/>
    <cellStyle name="Lien hypertexte visité" xfId="5" builtinId="9" hidden="1"/>
    <cellStyle name="Normal" xfId="0" builtinId="0"/>
    <cellStyle name="Normal 2" xfId="1"/>
    <cellStyle name="Pourcentage" xfId="6" builtinId="5"/>
  </cellStyles>
  <dxfs count="101">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FF0000"/>
      </font>
    </dxf>
    <dxf>
      <font>
        <color rgb="FF006100"/>
      </font>
      <fill>
        <patternFill>
          <bgColor rgb="FFC6EFCE"/>
        </patternFill>
      </fill>
    </dxf>
    <dxf>
      <font>
        <color rgb="FF006100"/>
      </font>
      <fill>
        <patternFill>
          <bgColor rgb="FFC6EFCE"/>
        </patternFill>
      </fill>
    </dxf>
    <dxf>
      <font>
        <color theme="0"/>
      </font>
      <fill>
        <patternFill patternType="none">
          <bgColor auto="1"/>
        </patternFill>
      </fill>
    </dxf>
    <dxf>
      <font>
        <color rgb="FF9C0006"/>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FF000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FF0000"/>
      </font>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s>
  <tableStyles count="0" defaultTableStyle="TableStyleMedium9" defaultPivotStyle="PivotStyleLight16"/>
  <colors>
    <mruColors>
      <color rgb="FFFB737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Water!$A$8:$A$52</c:f>
              <c:strCache>
                <c:ptCount val="45"/>
                <c:pt idx="0">
                  <c:v>AO_W0_1</c:v>
                </c:pt>
                <c:pt idx="1">
                  <c:v>AO_W1_1</c:v>
                </c:pt>
                <c:pt idx="2">
                  <c:v>AO_W1_2</c:v>
                </c:pt>
                <c:pt idx="3">
                  <c:v>AO_W2_1</c:v>
                </c:pt>
                <c:pt idx="4">
                  <c:v>AO_W2_2</c:v>
                </c:pt>
                <c:pt idx="5">
                  <c:v>AO_W3_1</c:v>
                </c:pt>
                <c:pt idx="6">
                  <c:v>AO_W3_2</c:v>
                </c:pt>
                <c:pt idx="7">
                  <c:v>AO_W3_3</c:v>
                </c:pt>
                <c:pt idx="8">
                  <c:v>AO_W4_1</c:v>
                </c:pt>
                <c:pt idx="9">
                  <c:v>AO_W5_1</c:v>
                </c:pt>
                <c:pt idx="10">
                  <c:v>AO_W5_2</c:v>
                </c:pt>
                <c:pt idx="11">
                  <c:v>AO_W6_1</c:v>
                </c:pt>
                <c:pt idx="12">
                  <c:v>AO_W6_2</c:v>
                </c:pt>
                <c:pt idx="13">
                  <c:v>AO_W6_3</c:v>
                </c:pt>
                <c:pt idx="14">
                  <c:v>AO_W6_3_J+7</c:v>
                </c:pt>
                <c:pt idx="15">
                  <c:v>AO_W6_4</c:v>
                </c:pt>
                <c:pt idx="16">
                  <c:v>AO_W7_1</c:v>
                </c:pt>
                <c:pt idx="17">
                  <c:v>AO_W8_1</c:v>
                </c:pt>
                <c:pt idx="18">
                  <c:v>AO_W9_1</c:v>
                </c:pt>
                <c:pt idx="19">
                  <c:v>AO_W9_2</c:v>
                </c:pt>
                <c:pt idx="20">
                  <c:v>AO_W9_3</c:v>
                </c:pt>
                <c:pt idx="21">
                  <c:v>AO_W9_4</c:v>
                </c:pt>
                <c:pt idx="22">
                  <c:v>AO_W10_1</c:v>
                </c:pt>
                <c:pt idx="23">
                  <c:v>AO_W10_2</c:v>
                </c:pt>
                <c:pt idx="24">
                  <c:v>AO_W10_3</c:v>
                </c:pt>
                <c:pt idx="25">
                  <c:v>AO_W10_4</c:v>
                </c:pt>
                <c:pt idx="26">
                  <c:v>AO_W10_5</c:v>
                </c:pt>
                <c:pt idx="27">
                  <c:v>AO_W11_1</c:v>
                </c:pt>
                <c:pt idx="28">
                  <c:v>AO_W11_2</c:v>
                </c:pt>
                <c:pt idx="29">
                  <c:v>AO_W11_3</c:v>
                </c:pt>
                <c:pt idx="30">
                  <c:v>AO_W12_1</c:v>
                </c:pt>
                <c:pt idx="31">
                  <c:v>AO_W12_2</c:v>
                </c:pt>
                <c:pt idx="32">
                  <c:v>AO_W12_3</c:v>
                </c:pt>
                <c:pt idx="33">
                  <c:v>AO_W12_4</c:v>
                </c:pt>
                <c:pt idx="34">
                  <c:v>AO_W13_1</c:v>
                </c:pt>
                <c:pt idx="35">
                  <c:v>AO_W13_2</c:v>
                </c:pt>
                <c:pt idx="36">
                  <c:v>AO_W13_3</c:v>
                </c:pt>
                <c:pt idx="37">
                  <c:v>AO_W14_1</c:v>
                </c:pt>
                <c:pt idx="38">
                  <c:v>AO_W15_1</c:v>
                </c:pt>
                <c:pt idx="39">
                  <c:v>AO_W16_1</c:v>
                </c:pt>
                <c:pt idx="40">
                  <c:v>AO_W16_2</c:v>
                </c:pt>
                <c:pt idx="41">
                  <c:v>AO_W16_3</c:v>
                </c:pt>
                <c:pt idx="42">
                  <c:v>AO_W17_1</c:v>
                </c:pt>
                <c:pt idx="43">
                  <c:v>AO_W17_2A</c:v>
                </c:pt>
                <c:pt idx="44">
                  <c:v>AO_W17_2B</c:v>
                </c:pt>
              </c:strCache>
            </c:strRef>
          </c:cat>
          <c:val>
            <c:numRef>
              <c:f>Water!$Q$8:$Q$52</c:f>
              <c:numCache>
                <c:formatCode>0\.000</c:formatCode>
                <c:ptCount val="45"/>
                <c:pt idx="0">
                  <c:v>0.24565936483649065</c:v>
                </c:pt>
                <c:pt idx="1">
                  <c:v>6.78824632218035</c:v>
                </c:pt>
                <c:pt idx="2">
                  <c:v>6.5609981971828795</c:v>
                </c:pt>
                <c:pt idx="3">
                  <c:v>9.4443018771349241</c:v>
                </c:pt>
                <c:pt idx="4">
                  <c:v>1.0421882951622816</c:v>
                </c:pt>
                <c:pt idx="5">
                  <c:v>8.8357358002013555</c:v>
                </c:pt>
                <c:pt idx="6">
                  <c:v>10.735732413927535</c:v>
                </c:pt>
                <c:pt idx="7">
                  <c:v>0.87183560799182735</c:v>
                </c:pt>
                <c:pt idx="8">
                  <c:v>0.50121899568919159</c:v>
                </c:pt>
                <c:pt idx="9">
                  <c:v>3.5869898391292669</c:v>
                </c:pt>
                <c:pt idx="10">
                  <c:v>0.81303421437467072</c:v>
                </c:pt>
                <c:pt idx="11">
                  <c:v>0.14349456785623207</c:v>
                </c:pt>
                <c:pt idx="12">
                  <c:v>4.109085841272888E-2</c:v>
                </c:pt>
                <c:pt idx="13">
                  <c:v>8.9226890845034355</c:v>
                </c:pt>
                <c:pt idx="14">
                  <c:v>10.192275647943363</c:v>
                </c:pt>
                <c:pt idx="15">
                  <c:v>2.1934116503931549E-2</c:v>
                </c:pt>
                <c:pt idx="16">
                  <c:v>0.18881142573803206</c:v>
                </c:pt>
                <c:pt idx="17">
                  <c:v>0.25050556009371294</c:v>
                </c:pt>
                <c:pt idx="18">
                  <c:v>0.18378898025743526</c:v>
                </c:pt>
                <c:pt idx="19">
                  <c:v>26.736702112544521</c:v>
                </c:pt>
                <c:pt idx="20">
                  <c:v>12.186292643788645</c:v>
                </c:pt>
                <c:pt idx="21">
                  <c:v>12.57657009727432</c:v>
                </c:pt>
                <c:pt idx="22">
                  <c:v>0.51399388221453002</c:v>
                </c:pt>
                <c:pt idx="23">
                  <c:v>3.388018251809914</c:v>
                </c:pt>
                <c:pt idx="24">
                  <c:v>3.3338984566027823</c:v>
                </c:pt>
                <c:pt idx="25">
                  <c:v>5.1797245979462412</c:v>
                </c:pt>
                <c:pt idx="26">
                  <c:v>5.5255091316396614</c:v>
                </c:pt>
                <c:pt idx="27">
                  <c:v>0.74646889330099464</c:v>
                </c:pt>
                <c:pt idx="28">
                  <c:v>4.4598480523365636</c:v>
                </c:pt>
                <c:pt idx="29">
                  <c:v>3.1231062540861982</c:v>
                </c:pt>
                <c:pt idx="30">
                  <c:v>1.8969084990266599E-2</c:v>
                </c:pt>
                <c:pt idx="31">
                  <c:v>1.098717504047019E-2</c:v>
                </c:pt>
                <c:pt idx="32">
                  <c:v>2.4591845017175002E-2</c:v>
                </c:pt>
                <c:pt idx="33">
                  <c:v>2.7985134468834667E-2</c:v>
                </c:pt>
                <c:pt idx="34">
                  <c:v>6.7997784985885374</c:v>
                </c:pt>
                <c:pt idx="35">
                  <c:v>16.811708232570375</c:v>
                </c:pt>
                <c:pt idx="36">
                  <c:v>1.0188672368073255</c:v>
                </c:pt>
                <c:pt idx="37">
                  <c:v>0.14891468566610572</c:v>
                </c:pt>
                <c:pt idx="38">
                  <c:v>0.16725153470213314</c:v>
                </c:pt>
                <c:pt idx="39">
                  <c:v>6.2670649186295196E-2</c:v>
                </c:pt>
                <c:pt idx="40">
                  <c:v>4.3901323021699655E-2</c:v>
                </c:pt>
                <c:pt idx="41">
                  <c:v>3.1057490215915733E-2</c:v>
                </c:pt>
                <c:pt idx="42">
                  <c:v>1.3669917424276751E-2</c:v>
                </c:pt>
                <c:pt idx="43">
                  <c:v>1.3553233166646741E-2</c:v>
                </c:pt>
                <c:pt idx="44">
                  <c:v>3.9681725163522995E-2</c:v>
                </c:pt>
              </c:numCache>
            </c:numRef>
          </c:val>
          <c:smooth val="0"/>
        </c:ser>
        <c:dLbls>
          <c:showLegendKey val="0"/>
          <c:showVal val="0"/>
          <c:showCatName val="0"/>
          <c:showSerName val="0"/>
          <c:showPercent val="0"/>
          <c:showBubbleSize val="0"/>
        </c:dLbls>
        <c:marker val="1"/>
        <c:smooth val="0"/>
        <c:axId val="84243968"/>
        <c:axId val="84245504"/>
      </c:lineChart>
      <c:catAx>
        <c:axId val="84243968"/>
        <c:scaling>
          <c:orientation val="minMax"/>
        </c:scaling>
        <c:delete val="0"/>
        <c:axPos val="b"/>
        <c:numFmt formatCode="General" sourceLinked="0"/>
        <c:majorTickMark val="out"/>
        <c:minorTickMark val="none"/>
        <c:tickLblPos val="nextTo"/>
        <c:txPr>
          <a:bodyPr rot="-3000000"/>
          <a:lstStyle/>
          <a:p>
            <a:pPr>
              <a:defRPr/>
            </a:pPr>
            <a:endParaRPr lang="fr-FR"/>
          </a:p>
        </c:txPr>
        <c:crossAx val="84245504"/>
        <c:crosses val="autoZero"/>
        <c:auto val="1"/>
        <c:lblAlgn val="ctr"/>
        <c:lblOffset val="100"/>
        <c:noMultiLvlLbl val="0"/>
      </c:catAx>
      <c:valAx>
        <c:axId val="84245504"/>
        <c:scaling>
          <c:orientation val="minMax"/>
        </c:scaling>
        <c:delete val="0"/>
        <c:axPos val="l"/>
        <c:majorGridlines/>
        <c:numFmt formatCode="0\.000" sourceLinked="1"/>
        <c:majorTickMark val="out"/>
        <c:minorTickMark val="none"/>
        <c:tickLblPos val="nextTo"/>
        <c:crossAx val="842439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Soil_Composite!$A$47:$A$61</c:f>
              <c:strCache>
                <c:ptCount val="15"/>
                <c:pt idx="0">
                  <c:v>AW_T_1</c:v>
                </c:pt>
                <c:pt idx="1">
                  <c:v>AW_T_2</c:v>
                </c:pt>
                <c:pt idx="2">
                  <c:v>AW_T_3</c:v>
                </c:pt>
                <c:pt idx="3">
                  <c:v>AW_T_4</c:v>
                </c:pt>
                <c:pt idx="4">
                  <c:v>AW_T_5</c:v>
                </c:pt>
                <c:pt idx="5">
                  <c:v>AW_T_6</c:v>
                </c:pt>
                <c:pt idx="6">
                  <c:v>AW_T_7</c:v>
                </c:pt>
                <c:pt idx="7">
                  <c:v>AW_T_8</c:v>
                </c:pt>
                <c:pt idx="8">
                  <c:v>AW_T_9</c:v>
                </c:pt>
                <c:pt idx="9">
                  <c:v>AW_T_10</c:v>
                </c:pt>
                <c:pt idx="10">
                  <c:v>AW_T_11</c:v>
                </c:pt>
                <c:pt idx="11">
                  <c:v>AW_T_12</c:v>
                </c:pt>
                <c:pt idx="12">
                  <c:v>AW_T_13</c:v>
                </c:pt>
                <c:pt idx="13">
                  <c:v>AW_T_14</c:v>
                </c:pt>
                <c:pt idx="14">
                  <c:v>AW_T_15</c:v>
                </c:pt>
              </c:strCache>
            </c:strRef>
          </c:cat>
          <c:val>
            <c:numRef>
              <c:f>Soil_Composite!$Z$47:$Z$61</c:f>
              <c:numCache>
                <c:formatCode>0.00</c:formatCode>
                <c:ptCount val="15"/>
                <c:pt idx="0">
                  <c:v>1.7071507771501291</c:v>
                </c:pt>
                <c:pt idx="1">
                  <c:v>3.5180309540206767</c:v>
                </c:pt>
                <c:pt idx="2">
                  <c:v>5.0938948913837718</c:v>
                </c:pt>
                <c:pt idx="3">
                  <c:v>4.6974196794163579</c:v>
                </c:pt>
                <c:pt idx="4">
                  <c:v>1.9426452073909919</c:v>
                </c:pt>
                <c:pt idx="5">
                  <c:v>2.1284572310787686</c:v>
                </c:pt>
                <c:pt idx="6">
                  <c:v>0.79491525827572795</c:v>
                </c:pt>
                <c:pt idx="7">
                  <c:v>0.7261801707049963</c:v>
                </c:pt>
                <c:pt idx="8">
                  <c:v>2.2314962964842344</c:v>
                </c:pt>
                <c:pt idx="9">
                  <c:v>2.5894129530466214</c:v>
                </c:pt>
                <c:pt idx="10">
                  <c:v>2.9121501222881117</c:v>
                </c:pt>
                <c:pt idx="11">
                  <c:v>3.1934554277577418</c:v>
                </c:pt>
                <c:pt idx="12">
                  <c:v>2.5561436925926926</c:v>
                </c:pt>
                <c:pt idx="13">
                  <c:v>1.8513244509122779</c:v>
                </c:pt>
                <c:pt idx="14">
                  <c:v>1.5305562521836207</c:v>
                </c:pt>
              </c:numCache>
            </c:numRef>
          </c:val>
          <c:smooth val="0"/>
        </c:ser>
        <c:dLbls>
          <c:showLegendKey val="0"/>
          <c:showVal val="0"/>
          <c:showCatName val="0"/>
          <c:showSerName val="0"/>
          <c:showPercent val="0"/>
          <c:showBubbleSize val="0"/>
        </c:dLbls>
        <c:marker val="1"/>
        <c:smooth val="0"/>
        <c:axId val="90621440"/>
        <c:axId val="90622976"/>
      </c:lineChart>
      <c:catAx>
        <c:axId val="90621440"/>
        <c:scaling>
          <c:orientation val="minMax"/>
        </c:scaling>
        <c:delete val="0"/>
        <c:axPos val="b"/>
        <c:numFmt formatCode="General" sourceLinked="0"/>
        <c:majorTickMark val="out"/>
        <c:minorTickMark val="none"/>
        <c:tickLblPos val="nextTo"/>
        <c:txPr>
          <a:bodyPr rot="-2700000"/>
          <a:lstStyle/>
          <a:p>
            <a:pPr>
              <a:defRPr/>
            </a:pPr>
            <a:endParaRPr lang="fr-FR"/>
          </a:p>
        </c:txPr>
        <c:crossAx val="90622976"/>
        <c:crosses val="autoZero"/>
        <c:auto val="1"/>
        <c:lblAlgn val="ctr"/>
        <c:lblOffset val="100"/>
        <c:noMultiLvlLbl val="0"/>
      </c:catAx>
      <c:valAx>
        <c:axId val="90622976"/>
        <c:scaling>
          <c:orientation val="minMax"/>
        </c:scaling>
        <c:delete val="0"/>
        <c:axPos val="l"/>
        <c:majorGridlines/>
        <c:numFmt formatCode="0.00" sourceLinked="1"/>
        <c:majorTickMark val="out"/>
        <c:minorTickMark val="none"/>
        <c:tickLblPos val="nextTo"/>
        <c:crossAx val="90621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Soil_Composite!$A$32:$A$46</c:f>
              <c:strCache>
                <c:ptCount val="15"/>
                <c:pt idx="0">
                  <c:v>AW_S_1</c:v>
                </c:pt>
                <c:pt idx="1">
                  <c:v>AW_S_2</c:v>
                </c:pt>
                <c:pt idx="2">
                  <c:v>AW_S_3</c:v>
                </c:pt>
                <c:pt idx="3">
                  <c:v>AW_S_4</c:v>
                </c:pt>
                <c:pt idx="4">
                  <c:v>AW_S_5</c:v>
                </c:pt>
                <c:pt idx="5">
                  <c:v>AW_S_6</c:v>
                </c:pt>
                <c:pt idx="6">
                  <c:v>AW_S_7</c:v>
                </c:pt>
                <c:pt idx="7">
                  <c:v>AW_S_8</c:v>
                </c:pt>
                <c:pt idx="8">
                  <c:v>AW_S_9</c:v>
                </c:pt>
                <c:pt idx="9">
                  <c:v>AW_S_10</c:v>
                </c:pt>
                <c:pt idx="10">
                  <c:v>AW_S_11</c:v>
                </c:pt>
                <c:pt idx="11">
                  <c:v>AW_S_12</c:v>
                </c:pt>
                <c:pt idx="12">
                  <c:v>AW_S_13</c:v>
                </c:pt>
                <c:pt idx="13">
                  <c:v>AW_S_14</c:v>
                </c:pt>
                <c:pt idx="14">
                  <c:v>AW_S_15</c:v>
                </c:pt>
              </c:strCache>
            </c:strRef>
          </c:cat>
          <c:val>
            <c:numRef>
              <c:f>Soil_Composite!$Z$32:$Z$46</c:f>
              <c:numCache>
                <c:formatCode>0.00</c:formatCode>
                <c:ptCount val="15"/>
                <c:pt idx="0">
                  <c:v>7.6236021127896771</c:v>
                </c:pt>
                <c:pt idx="1">
                  <c:v>3.6866277973878576</c:v>
                </c:pt>
                <c:pt idx="2">
                  <c:v>4.9182315046360365</c:v>
                </c:pt>
                <c:pt idx="3">
                  <c:v>2.5961767042784771</c:v>
                </c:pt>
                <c:pt idx="4">
                  <c:v>3.2247645620842404</c:v>
                </c:pt>
                <c:pt idx="5">
                  <c:v>2.4544476946800047</c:v>
                </c:pt>
                <c:pt idx="6">
                  <c:v>1.7796972726361173</c:v>
                </c:pt>
                <c:pt idx="7">
                  <c:v>1.2455620315830087</c:v>
                </c:pt>
                <c:pt idx="8">
                  <c:v>1.2103604539896395</c:v>
                </c:pt>
                <c:pt idx="9">
                  <c:v>2.3638939805320018</c:v>
                </c:pt>
                <c:pt idx="10">
                  <c:v>0.86456263656560928</c:v>
                </c:pt>
                <c:pt idx="11">
                  <c:v>0.90291020097157626</c:v>
                </c:pt>
                <c:pt idx="12">
                  <c:v>1.3926564653347471</c:v>
                </c:pt>
                <c:pt idx="13">
                  <c:v>1.1923653632280271</c:v>
                </c:pt>
                <c:pt idx="14">
                  <c:v>1.3545025099580608</c:v>
                </c:pt>
              </c:numCache>
            </c:numRef>
          </c:val>
          <c:smooth val="0"/>
        </c:ser>
        <c:dLbls>
          <c:showLegendKey val="0"/>
          <c:showVal val="0"/>
          <c:showCatName val="0"/>
          <c:showSerName val="0"/>
          <c:showPercent val="0"/>
          <c:showBubbleSize val="0"/>
        </c:dLbls>
        <c:marker val="1"/>
        <c:smooth val="0"/>
        <c:axId val="90634880"/>
        <c:axId val="86716800"/>
      </c:lineChart>
      <c:catAx>
        <c:axId val="90634880"/>
        <c:scaling>
          <c:orientation val="minMax"/>
        </c:scaling>
        <c:delete val="0"/>
        <c:axPos val="b"/>
        <c:numFmt formatCode="General" sourceLinked="0"/>
        <c:majorTickMark val="out"/>
        <c:minorTickMark val="none"/>
        <c:tickLblPos val="nextTo"/>
        <c:txPr>
          <a:bodyPr rot="-2700000"/>
          <a:lstStyle/>
          <a:p>
            <a:pPr>
              <a:defRPr/>
            </a:pPr>
            <a:endParaRPr lang="fr-FR"/>
          </a:p>
        </c:txPr>
        <c:crossAx val="86716800"/>
        <c:crosses val="autoZero"/>
        <c:auto val="1"/>
        <c:lblAlgn val="ctr"/>
        <c:lblOffset val="100"/>
        <c:noMultiLvlLbl val="0"/>
      </c:catAx>
      <c:valAx>
        <c:axId val="86716800"/>
        <c:scaling>
          <c:orientation val="minMax"/>
        </c:scaling>
        <c:delete val="0"/>
        <c:axPos val="l"/>
        <c:majorGridlines/>
        <c:numFmt formatCode="0.00" sourceLinked="1"/>
        <c:majorTickMark val="out"/>
        <c:minorTickMark val="none"/>
        <c:tickLblPos val="nextTo"/>
        <c:crossAx val="90634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Soil_Composite!$A$17:$A$31</c:f>
              <c:strCache>
                <c:ptCount val="15"/>
                <c:pt idx="0">
                  <c:v>AW_N_1</c:v>
                </c:pt>
                <c:pt idx="1">
                  <c:v>AW_N_2</c:v>
                </c:pt>
                <c:pt idx="2">
                  <c:v>AW_N_3</c:v>
                </c:pt>
                <c:pt idx="3">
                  <c:v>AW_N_4</c:v>
                </c:pt>
                <c:pt idx="4">
                  <c:v>AW_N_5</c:v>
                </c:pt>
                <c:pt idx="5">
                  <c:v>AW_N_6</c:v>
                </c:pt>
                <c:pt idx="6">
                  <c:v>AW_N_7</c:v>
                </c:pt>
                <c:pt idx="7">
                  <c:v>AW_N_8</c:v>
                </c:pt>
                <c:pt idx="8">
                  <c:v>AW_N_9</c:v>
                </c:pt>
                <c:pt idx="9">
                  <c:v>AW_N_10</c:v>
                </c:pt>
                <c:pt idx="10">
                  <c:v>AW_N_11</c:v>
                </c:pt>
                <c:pt idx="11">
                  <c:v>AW_N_12</c:v>
                </c:pt>
                <c:pt idx="12">
                  <c:v>AW_N_13</c:v>
                </c:pt>
                <c:pt idx="13">
                  <c:v>AW_N_14</c:v>
                </c:pt>
                <c:pt idx="14">
                  <c:v>AW_N_15</c:v>
                </c:pt>
              </c:strCache>
            </c:strRef>
          </c:cat>
          <c:val>
            <c:numRef>
              <c:f>Soil_Composite!$Z$17:$Z$31</c:f>
              <c:numCache>
                <c:formatCode>0.00</c:formatCode>
                <c:ptCount val="15"/>
                <c:pt idx="0">
                  <c:v>1.8544809870364711</c:v>
                </c:pt>
                <c:pt idx="1">
                  <c:v>5.6285149521329148</c:v>
                </c:pt>
                <c:pt idx="2">
                  <c:v>7.1836621478249993</c:v>
                </c:pt>
                <c:pt idx="3">
                  <c:v>4.2233451331043623</c:v>
                </c:pt>
                <c:pt idx="4">
                  <c:v>1.2489044110465524</c:v>
                </c:pt>
                <c:pt idx="5">
                  <c:v>1.2853255238218517</c:v>
                </c:pt>
                <c:pt idx="6">
                  <c:v>1.7504548117490371</c:v>
                </c:pt>
                <c:pt idx="7">
                  <c:v>1.1838609042860146</c:v>
                </c:pt>
                <c:pt idx="8">
                  <c:v>1.0017347327255637</c:v>
                </c:pt>
                <c:pt idx="9">
                  <c:v>1.8664028619492665</c:v>
                </c:pt>
                <c:pt idx="10">
                  <c:v>1.3000524368110224</c:v>
                </c:pt>
                <c:pt idx="11">
                  <c:v>0.53926714315228086</c:v>
                </c:pt>
                <c:pt idx="12">
                  <c:v>0.35651763774009076</c:v>
                </c:pt>
                <c:pt idx="13">
                  <c:v>0.811785638912222</c:v>
                </c:pt>
                <c:pt idx="14">
                  <c:v>1.1158234020305029</c:v>
                </c:pt>
              </c:numCache>
            </c:numRef>
          </c:val>
          <c:smooth val="0"/>
        </c:ser>
        <c:dLbls>
          <c:showLegendKey val="0"/>
          <c:showVal val="0"/>
          <c:showCatName val="0"/>
          <c:showSerName val="0"/>
          <c:showPercent val="0"/>
          <c:showBubbleSize val="0"/>
        </c:dLbls>
        <c:marker val="1"/>
        <c:smooth val="0"/>
        <c:axId val="86726144"/>
        <c:axId val="86727680"/>
      </c:lineChart>
      <c:catAx>
        <c:axId val="86726144"/>
        <c:scaling>
          <c:orientation val="minMax"/>
        </c:scaling>
        <c:delete val="0"/>
        <c:axPos val="b"/>
        <c:numFmt formatCode="General" sourceLinked="0"/>
        <c:majorTickMark val="out"/>
        <c:minorTickMark val="none"/>
        <c:tickLblPos val="nextTo"/>
        <c:txPr>
          <a:bodyPr rot="-2700000"/>
          <a:lstStyle/>
          <a:p>
            <a:pPr>
              <a:defRPr/>
            </a:pPr>
            <a:endParaRPr lang="fr-FR"/>
          </a:p>
        </c:txPr>
        <c:crossAx val="86727680"/>
        <c:crosses val="autoZero"/>
        <c:auto val="1"/>
        <c:lblAlgn val="ctr"/>
        <c:lblOffset val="100"/>
        <c:noMultiLvlLbl val="0"/>
      </c:catAx>
      <c:valAx>
        <c:axId val="86727680"/>
        <c:scaling>
          <c:orientation val="minMax"/>
        </c:scaling>
        <c:delete val="0"/>
        <c:axPos val="l"/>
        <c:majorGridlines/>
        <c:numFmt formatCode="0.00" sourceLinked="1"/>
        <c:majorTickMark val="out"/>
        <c:minorTickMark val="none"/>
        <c:tickLblPos val="nextTo"/>
        <c:crossAx val="86726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323849</xdr:colOff>
      <xdr:row>69</xdr:row>
      <xdr:rowOff>98423</xdr:rowOff>
    </xdr:from>
    <xdr:to>
      <xdr:col>14</xdr:col>
      <xdr:colOff>342899</xdr:colOff>
      <xdr:row>95</xdr:row>
      <xdr:rowOff>117474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71437</xdr:colOff>
      <xdr:row>81</xdr:row>
      <xdr:rowOff>114300</xdr:rowOff>
    </xdr:from>
    <xdr:to>
      <xdr:col>11</xdr:col>
      <xdr:colOff>723900</xdr:colOff>
      <xdr:row>96</xdr:row>
      <xdr:rowOff>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98</xdr:row>
      <xdr:rowOff>0</xdr:rowOff>
    </xdr:from>
    <xdr:to>
      <xdr:col>11</xdr:col>
      <xdr:colOff>652463</xdr:colOff>
      <xdr:row>112</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70037</xdr:colOff>
      <xdr:row>63</xdr:row>
      <xdr:rowOff>28015</xdr:rowOff>
    </xdr:from>
    <xdr:to>
      <xdr:col>11</xdr:col>
      <xdr:colOff>722500</xdr:colOff>
      <xdr:row>77</xdr:row>
      <xdr:rowOff>104215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ntble/biogemo/GC-MS_Results/Alteck%202016/2016.07.21_Alteckendorf%202016_SIM_3-end/2016.07.21_Alteckendorf%202016_SIM_3-end_Quantif_smps-4_Quantif_Linear-50-500_Dilution%20Factor_Lo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intble/biogemo/GC-MS_Results/Alteck%202016/2016.09.05_Alteckendorf%202016_SIM_4/2016.09.05_Alteckendorf%202016_Smps%203_Quantif_10-100_clean_Long.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lteck_Water_samples_2016.06.21.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sintble/biogemo/GC-MS_Results/Alteck%202016/2016.07.21_Alteckendorf%202016_SIM_3-end/2016.07.21_Alteckendorf%202016_SIM_3-end_Quantif_smps-1_Linear-10-100_clean_Long.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lteck_concent_Check_24.10.20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Quantification_GC-MS_2016.10.0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MassBalComput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teck_concent_Check_10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intble/biogemo/GC-MS_Results/Alteck%202016/2016.09.05_Alteckendorf%202016_SIM_4/2016.09.05_Alteckendorf%202016_Smps%202_Quantif_50-500_clean_Lo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intble/biogemo/GC-MS_Results/Alteck%202016/2016.09.05_Alteckendorf%202016_SIM_4/2016.09.05_Alteckendorf%202016_Smps%201a_Quantif_10-100_clean_Lo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intble/biogemo/GC-MS_Results/Alteck%202016/2016.09.05_Alteckendorf%202016_SIM_4/2016.09.05_Alteckendorf%202016_Smps%201b_Quantif_50-500_clean_Lo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intble/biogemo/GC-MS_Results/Alteck%202016/2016.09.05_Alteckendorf%202016_SIM_4/2016.09.05_Alteckendorf%202016_Smps%201a_Quantif_50-500_clean_Lon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lteck_concent_Chec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lteck_soil_weekly_2016.07.2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lteck_soil_detailed_2016.11.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tochlor"/>
      <sheetName val="Alachlor"/>
      <sheetName val="Metalaxyl"/>
      <sheetName val="Metolachlor_d11"/>
      <sheetName val="s-Metolachlor"/>
      <sheetName val="Butachlor"/>
      <sheetName val="Component"/>
      <sheetName val="mdlCalcs"/>
    </sheetNames>
    <sheetDataSet>
      <sheetData sheetId="0"/>
      <sheetData sheetId="1"/>
      <sheetData sheetId="2"/>
      <sheetData sheetId="3"/>
      <sheetData sheetId="4">
        <row r="9">
          <cell r="F9">
            <v>127.791517678934</v>
          </cell>
        </row>
        <row r="10">
          <cell r="F10">
            <v>143.166535383678</v>
          </cell>
        </row>
        <row r="11">
          <cell r="F11">
            <v>149.11946080778699</v>
          </cell>
        </row>
      </sheetData>
      <sheetData sheetId="5"/>
      <sheetData sheetId="6"/>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tochlor"/>
      <sheetName val="Alachlor"/>
      <sheetName val="Metalaxyl"/>
      <sheetName val="Metolachlor_d11"/>
      <sheetName val="s-Metolachlor"/>
      <sheetName val="Pendimethalin"/>
      <sheetName val="Butachlor"/>
      <sheetName val="Component"/>
      <sheetName val="mdlCalcs"/>
    </sheetNames>
    <sheetDataSet>
      <sheetData sheetId="0"/>
      <sheetData sheetId="1"/>
      <sheetData sheetId="2"/>
      <sheetData sheetId="3"/>
      <sheetData sheetId="4">
        <row r="17">
          <cell r="F17">
            <v>68.117610755257402</v>
          </cell>
        </row>
        <row r="45">
          <cell r="F45">
            <v>50.195766797454098</v>
          </cell>
        </row>
      </sheetData>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nalyses"/>
      <sheetName val="MES_MO"/>
      <sheetName val="Extraction_filters"/>
    </sheetNames>
    <sheetDataSet>
      <sheetData sheetId="0" refreshError="1"/>
      <sheetData sheetId="1" refreshError="1"/>
      <sheetData sheetId="2">
        <row r="6">
          <cell r="P6">
            <v>53.444444444473845</v>
          </cell>
        </row>
        <row r="7">
          <cell r="P7">
            <v>62.499999999943157</v>
          </cell>
          <cell r="R7">
            <v>9.9999999999766942E-4</v>
          </cell>
        </row>
        <row r="8">
          <cell r="P8">
            <v>22.50000000003638</v>
          </cell>
          <cell r="R8">
            <v>-1.799999999995805E-3</v>
          </cell>
        </row>
        <row r="9">
          <cell r="P9">
            <v>22.50000000003638</v>
          </cell>
          <cell r="R9">
            <v>-9.9999999999766942E-4</v>
          </cell>
        </row>
        <row r="10">
          <cell r="P10">
            <v>4.9999999999883471</v>
          </cell>
          <cell r="R10">
            <v>-1.300000000000523E-3</v>
          </cell>
        </row>
        <row r="11">
          <cell r="P11">
            <v>197.50000000016144</v>
          </cell>
          <cell r="R11">
            <v>5.8000000000006935E-3</v>
          </cell>
        </row>
        <row r="12">
          <cell r="P12">
            <v>52.499999999966462</v>
          </cell>
          <cell r="R12">
            <v>5.9999999999860165E-4</v>
          </cell>
        </row>
        <row r="13">
          <cell r="P13">
            <v>137.499999999946</v>
          </cell>
          <cell r="R13">
            <v>1.5999999999962711E-3</v>
          </cell>
        </row>
        <row r="14">
          <cell r="P14">
            <v>242.50000000005656</v>
          </cell>
          <cell r="R14">
            <v>2.0000000000024443E-3</v>
          </cell>
        </row>
        <row r="15">
          <cell r="P15">
            <v>24.999999999977263</v>
          </cell>
          <cell r="Q15">
            <v>21.213203435597229</v>
          </cell>
          <cell r="R15">
            <v>3.9999999999977831E-3</v>
          </cell>
        </row>
        <row r="16">
          <cell r="P16">
            <v>105.00000000003951</v>
          </cell>
          <cell r="Q16">
            <v>7.0710678118489954</v>
          </cell>
          <cell r="R16">
            <v>7.0000000000050022E-3</v>
          </cell>
        </row>
        <row r="17">
          <cell r="P17">
            <v>18.999999999991246</v>
          </cell>
          <cell r="Q17">
            <v>1.4142135623697991</v>
          </cell>
          <cell r="R17">
            <v>9.0000000000145519E-4</v>
          </cell>
        </row>
        <row r="18">
          <cell r="P18">
            <v>1647.4999999998909</v>
          </cell>
          <cell r="Q18">
            <v>3.5355339059245381</v>
          </cell>
          <cell r="R18">
            <v>2.9299999999999216E-2</v>
          </cell>
        </row>
        <row r="19">
          <cell r="P19">
            <v>9590.476190476169</v>
          </cell>
          <cell r="Q19">
            <v>0</v>
          </cell>
          <cell r="R19">
            <v>0.1909999999999954</v>
          </cell>
        </row>
        <row r="20">
          <cell r="P20" t="e">
            <v>#DIV/0!</v>
          </cell>
          <cell r="R20">
            <v>0</v>
          </cell>
        </row>
        <row r="21">
          <cell r="P21">
            <v>425.00000000000426</v>
          </cell>
          <cell r="Q21">
            <v>1.4142135623697991</v>
          </cell>
          <cell r="R21">
            <v>1.850000000000307E-2</v>
          </cell>
        </row>
        <row r="22">
          <cell r="P22">
            <v>121.00000000000222</v>
          </cell>
          <cell r="Q22">
            <v>38.183766184085044</v>
          </cell>
          <cell r="R22">
            <v>6.599999999998829E-3</v>
          </cell>
        </row>
        <row r="23">
          <cell r="P23">
            <v>17.750000000003041</v>
          </cell>
          <cell r="Q23">
            <v>8.1317279836389069</v>
          </cell>
          <cell r="R23">
            <v>1.9999999999953388E-4</v>
          </cell>
        </row>
        <row r="24">
          <cell r="P24">
            <v>11.797752808981228</v>
          </cell>
          <cell r="R24">
            <v>-1.300000000000523E-3</v>
          </cell>
        </row>
        <row r="25">
          <cell r="P25">
            <v>6640.0000000000382</v>
          </cell>
          <cell r="Q25">
            <v>4.7140452078989554</v>
          </cell>
          <cell r="R25">
            <v>0.18769999999999953</v>
          </cell>
        </row>
        <row r="26">
          <cell r="P26">
            <v>632.5000000000357</v>
          </cell>
          <cell r="Q26">
            <v>21.213203435546987</v>
          </cell>
          <cell r="R26">
            <v>2.1300000000003649E-2</v>
          </cell>
        </row>
        <row r="27">
          <cell r="P27">
            <v>162.33333333334582</v>
          </cell>
          <cell r="Q27">
            <v>2.3570226039664197</v>
          </cell>
          <cell r="R27">
            <v>-0.4786999999999999</v>
          </cell>
        </row>
        <row r="28">
          <cell r="P28">
            <v>109.84251968502116</v>
          </cell>
          <cell r="Q28">
            <v>28.39562664610666</v>
          </cell>
          <cell r="R28">
            <v>7.1999999999974307E-3</v>
          </cell>
        </row>
        <row r="29">
          <cell r="P29">
            <v>2027.0000000000009</v>
          </cell>
          <cell r="Q29">
            <v>74.953318805750087</v>
          </cell>
          <cell r="R29">
            <v>7.990000000000208E-2</v>
          </cell>
        </row>
        <row r="30">
          <cell r="P30">
            <v>2242.9999999999945</v>
          </cell>
          <cell r="Q30">
            <v>91.923881554288158</v>
          </cell>
          <cell r="R30">
            <v>9.9399999999995714E-2</v>
          </cell>
        </row>
        <row r="31">
          <cell r="P31">
            <v>1876.2500000000236</v>
          </cell>
          <cell r="Q31">
            <v>139.65358928433173</v>
          </cell>
          <cell r="R31">
            <v>6.3099999999998602E-2</v>
          </cell>
        </row>
        <row r="32">
          <cell r="P32">
            <v>570.62500000002456</v>
          </cell>
          <cell r="Q32">
            <v>73.362328548153187</v>
          </cell>
          <cell r="R32">
            <v>3.5699999999998511E-2</v>
          </cell>
        </row>
        <row r="33">
          <cell r="P33">
            <v>150.49999999998676</v>
          </cell>
          <cell r="Q33">
            <v>30.405591591026091</v>
          </cell>
          <cell r="R33">
            <v>2.0199999999995555E-2</v>
          </cell>
        </row>
        <row r="34">
          <cell r="P34">
            <v>1377.0000000000236</v>
          </cell>
          <cell r="Q34">
            <v>49.497474683093699</v>
          </cell>
          <cell r="R34">
            <v>0.12359999999999616</v>
          </cell>
        </row>
        <row r="35">
          <cell r="P35">
            <v>14572.000000000073</v>
          </cell>
          <cell r="Q35">
            <v>113.1370849898849</v>
          </cell>
          <cell r="R35">
            <v>0.6916000000000011</v>
          </cell>
        </row>
        <row r="36">
          <cell r="P36">
            <v>1644.9999999999677</v>
          </cell>
          <cell r="Q36">
            <v>32.526911934555621</v>
          </cell>
          <cell r="R36">
            <v>7.4200000000004707E-2</v>
          </cell>
        </row>
        <row r="37">
          <cell r="P37">
            <v>33.749999999992397</v>
          </cell>
          <cell r="Q37">
            <v>10.253048327206159</v>
          </cell>
          <cell r="R37">
            <v>2.2999999999981924E-3</v>
          </cell>
        </row>
        <row r="38">
          <cell r="P38">
            <v>2382.0000000001328</v>
          </cell>
          <cell r="Q38">
            <v>45.254833995933893</v>
          </cell>
          <cell r="R38">
            <v>0.1104000000000056</v>
          </cell>
        </row>
        <row r="39">
          <cell r="P39">
            <v>71.000000000047692</v>
          </cell>
          <cell r="Q39">
            <v>22.627416997967028</v>
          </cell>
          <cell r="R39">
            <v>3.700000000002035E-3</v>
          </cell>
        </row>
        <row r="40">
          <cell r="P40">
            <v>384.99999999999091</v>
          </cell>
          <cell r="R40">
            <v>3.7999999999982492E-3</v>
          </cell>
        </row>
        <row r="41">
          <cell r="P41">
            <v>796.56250000001978</v>
          </cell>
          <cell r="Q41">
            <v>794.16930362012738</v>
          </cell>
          <cell r="R41">
            <v>2.4799999999999045E-2</v>
          </cell>
        </row>
        <row r="42">
          <cell r="P42">
            <v>66.249999999996589</v>
          </cell>
          <cell r="R42">
            <v>2.3200000000002774E-2</v>
          </cell>
        </row>
        <row r="43">
          <cell r="P43">
            <v>54.038461538465405</v>
          </cell>
          <cell r="Q43">
            <v>12.23838659745992</v>
          </cell>
          <cell r="R43">
            <v>4.1000000000011028E-3</v>
          </cell>
        </row>
        <row r="44">
          <cell r="P44">
            <v>50.00000000002558</v>
          </cell>
          <cell r="R44">
            <v>7.9999999999813554E-4</v>
          </cell>
        </row>
        <row r="45">
          <cell r="P45">
            <v>55.499999999994998</v>
          </cell>
          <cell r="Q45">
            <v>0</v>
          </cell>
          <cell r="R45">
            <v>5.6000000000011596E-3</v>
          </cell>
        </row>
        <row r="46">
          <cell r="P46">
            <v>55.499999999994998</v>
          </cell>
          <cell r="Q46">
            <v>0</v>
          </cell>
          <cell r="R46">
            <v>5.6000000000011596E-3</v>
          </cell>
        </row>
        <row r="47">
          <cell r="P47">
            <v>55.499999999994998</v>
          </cell>
          <cell r="Q47">
            <v>0</v>
          </cell>
          <cell r="R47">
            <v>5.6000000000011596E-3</v>
          </cell>
        </row>
      </sheetData>
      <sheetData sheetId="3">
        <row r="11">
          <cell r="L11">
            <v>2.8267000000000002</v>
          </cell>
        </row>
        <row r="24">
          <cell r="L24">
            <v>2.5629</v>
          </cell>
          <cell r="O24">
            <v>3.9502157829839661</v>
          </cell>
        </row>
        <row r="25">
          <cell r="L25">
            <v>7.0925000000000002</v>
          </cell>
          <cell r="O25">
            <v>17.947618512062089</v>
          </cell>
        </row>
        <row r="26">
          <cell r="L26">
            <v>7.3520000000000003</v>
          </cell>
          <cell r="O26">
            <v>30.921770276503949</v>
          </cell>
        </row>
        <row r="27">
          <cell r="L27">
            <v>2.7118000000000002</v>
          </cell>
          <cell r="O27">
            <v>5.9659003409965914</v>
          </cell>
        </row>
        <row r="28">
          <cell r="O28">
            <v>4</v>
          </cell>
        </row>
        <row r="29">
          <cell r="L29">
            <v>5.2084000000000001</v>
          </cell>
          <cell r="O29">
            <v>9.5256110465192236</v>
          </cell>
        </row>
        <row r="30">
          <cell r="L30">
            <v>5.2020999999999997</v>
          </cell>
          <cell r="O30">
            <v>8.4147286536722365</v>
          </cell>
        </row>
        <row r="31">
          <cell r="L31">
            <v>5.1539000000000001</v>
          </cell>
          <cell r="O31">
            <v>9.9189761354888386</v>
          </cell>
        </row>
        <row r="32">
          <cell r="L32">
            <v>3.3376999999999999</v>
          </cell>
          <cell r="O32">
            <v>7</v>
          </cell>
        </row>
        <row r="33">
          <cell r="L33">
            <v>2.7833000000000001</v>
          </cell>
          <cell r="O33">
            <v>5</v>
          </cell>
        </row>
        <row r="34">
          <cell r="L34">
            <v>7.4455</v>
          </cell>
          <cell r="O34">
            <v>10</v>
          </cell>
        </row>
        <row r="35">
          <cell r="L35">
            <v>5.5124000000000004</v>
          </cell>
          <cell r="O35">
            <v>4</v>
          </cell>
        </row>
        <row r="36">
          <cell r="L36">
            <v>6.8446999999999996</v>
          </cell>
          <cell r="O36">
            <v>11</v>
          </cell>
        </row>
        <row r="37">
          <cell r="L37">
            <v>1.2369000000000001</v>
          </cell>
          <cell r="O37">
            <v>3</v>
          </cell>
        </row>
        <row r="38">
          <cell r="L38">
            <v>6.7344999999999997</v>
          </cell>
          <cell r="O38">
            <v>10.866478418717225</v>
          </cell>
        </row>
        <row r="39">
          <cell r="L39">
            <v>0.67710000000000004</v>
          </cell>
          <cell r="O39">
            <v>2</v>
          </cell>
        </row>
        <row r="40">
          <cell r="L40">
            <v>0.75749999999999995</v>
          </cell>
          <cell r="O40">
            <v>2</v>
          </cell>
        </row>
        <row r="41">
          <cell r="L41">
            <v>6.4425999999999997</v>
          </cell>
          <cell r="O41">
            <v>9.734619144964892</v>
          </cell>
        </row>
        <row r="42">
          <cell r="L42">
            <v>0.90459999999999996</v>
          </cell>
          <cell r="O42">
            <v>2</v>
          </cell>
        </row>
        <row r="43">
          <cell r="L43">
            <v>0.7802</v>
          </cell>
          <cell r="O43">
            <v>2</v>
          </cell>
        </row>
        <row r="44">
          <cell r="L44">
            <v>0.7802</v>
          </cell>
          <cell r="O44">
            <v>2</v>
          </cell>
        </row>
        <row r="45">
          <cell r="O45" t="e">
            <v>#DIV/0!</v>
          </cell>
        </row>
        <row r="46">
          <cell r="O46" t="e">
            <v>#DIV/0!</v>
          </cell>
        </row>
        <row r="47">
          <cell r="O47" t="e">
            <v>#DIV/0!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tochlor"/>
      <sheetName val="Alachlor"/>
      <sheetName val="Metalaxyl"/>
      <sheetName val="Metolachlor_d11"/>
      <sheetName val="s-Metolachlor"/>
      <sheetName val="Pendimethalin"/>
      <sheetName val="Butachlor"/>
      <sheetName val="Component"/>
      <sheetName val="mdlCalcs"/>
    </sheetNames>
    <sheetDataSet>
      <sheetData sheetId="0"/>
      <sheetData sheetId="1"/>
      <sheetData sheetId="2"/>
      <sheetData sheetId="3"/>
      <sheetData sheetId="4">
        <row r="6">
          <cell r="F6">
            <v>84.655063853025496</v>
          </cell>
        </row>
        <row r="7">
          <cell r="F7">
            <v>95.231643177709401</v>
          </cell>
        </row>
        <row r="8">
          <cell r="F8">
            <v>91.124248595861005</v>
          </cell>
        </row>
        <row r="21">
          <cell r="F21">
            <v>55.445359027462203</v>
          </cell>
        </row>
        <row r="22">
          <cell r="F22">
            <v>57.190702521511902</v>
          </cell>
        </row>
        <row r="23">
          <cell r="F23">
            <v>55.070741425388299</v>
          </cell>
        </row>
        <row r="24">
          <cell r="F24">
            <v>178.74114721061599</v>
          </cell>
        </row>
        <row r="25">
          <cell r="F25">
            <v>175.459114135514</v>
          </cell>
        </row>
        <row r="26">
          <cell r="F26">
            <v>194.71767928167799</v>
          </cell>
        </row>
        <row r="33">
          <cell r="F33">
            <v>22.585633968857501</v>
          </cell>
        </row>
        <row r="34">
          <cell r="F34">
            <v>22.270382887921699</v>
          </cell>
        </row>
        <row r="35">
          <cell r="F35">
            <v>21.8127372721627</v>
          </cell>
        </row>
      </sheetData>
      <sheetData sheetId="5"/>
      <sheetData sheetId="6"/>
      <sheetData sheetId="7"/>
      <sheetData sheetId="8"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_Checked"/>
      <sheetName val="Raw"/>
      <sheetName val="DuplicatesCheck"/>
    </sheetNames>
    <sheetDataSet>
      <sheetData sheetId="0">
        <row r="17">
          <cell r="K17">
            <v>50.525053449557298</v>
          </cell>
        </row>
        <row r="18">
          <cell r="K18">
            <v>49.173016979869502</v>
          </cell>
        </row>
        <row r="19">
          <cell r="K19">
            <v>49.062356607793802</v>
          </cell>
        </row>
        <row r="26">
          <cell r="K26">
            <v>182.163591602639</v>
          </cell>
        </row>
        <row r="27">
          <cell r="K27">
            <v>192.11141011975801</v>
          </cell>
        </row>
        <row r="28">
          <cell r="K28">
            <v>187.92413800293301</v>
          </cell>
        </row>
        <row r="29">
          <cell r="K29">
            <v>28.136877705306901</v>
          </cell>
        </row>
        <row r="30">
          <cell r="K30">
            <v>27.891302467628101</v>
          </cell>
        </row>
        <row r="31">
          <cell r="K31">
            <v>30.079026594685999</v>
          </cell>
        </row>
        <row r="32">
          <cell r="K32">
            <v>36.093474936424698</v>
          </cell>
        </row>
        <row r="33">
          <cell r="K33">
            <v>37.2298536513646</v>
          </cell>
        </row>
        <row r="34">
          <cell r="K34">
            <v>36.564544257286201</v>
          </cell>
        </row>
        <row r="35">
          <cell r="K35">
            <v>23.860384082761801</v>
          </cell>
        </row>
        <row r="36">
          <cell r="K36">
            <v>25.0589880046372</v>
          </cell>
        </row>
        <row r="37">
          <cell r="K37">
            <v>25.634471948820099</v>
          </cell>
        </row>
        <row r="38">
          <cell r="K38">
            <v>29.9933186781603</v>
          </cell>
        </row>
        <row r="39">
          <cell r="K39">
            <v>38.123282711788903</v>
          </cell>
        </row>
        <row r="40">
          <cell r="K40">
            <v>38.5443987407794</v>
          </cell>
        </row>
        <row r="41">
          <cell r="K41">
            <v>185.872949718402</v>
          </cell>
        </row>
        <row r="42">
          <cell r="K42">
            <v>204.43694036447499</v>
          </cell>
        </row>
        <row r="43">
          <cell r="K43">
            <v>205.21164793960699</v>
          </cell>
        </row>
        <row r="44">
          <cell r="K44">
            <v>342.13111663708798</v>
          </cell>
        </row>
        <row r="45">
          <cell r="K45">
            <v>358.268636609726</v>
          </cell>
        </row>
        <row r="46">
          <cell r="K46">
            <v>367.43094091579798</v>
          </cell>
        </row>
        <row r="47">
          <cell r="K47">
            <v>58.708811807134801</v>
          </cell>
        </row>
        <row r="48">
          <cell r="K48">
            <v>63.510840433033202</v>
          </cell>
        </row>
        <row r="49">
          <cell r="K49">
            <v>63.446334272363799</v>
          </cell>
        </row>
        <row r="50">
          <cell r="K50">
            <v>11.1010508470236</v>
          </cell>
        </row>
        <row r="51">
          <cell r="K51">
            <v>10.147915208616601</v>
          </cell>
        </row>
        <row r="52">
          <cell r="K52">
            <v>10.1447615521288</v>
          </cell>
        </row>
        <row r="53">
          <cell r="K53">
            <v>6.8670036523904301</v>
          </cell>
        </row>
        <row r="54">
          <cell r="K54">
            <v>7.2299573457404804</v>
          </cell>
        </row>
        <row r="55">
          <cell r="K55">
            <v>7.2778902297178396</v>
          </cell>
        </row>
        <row r="56">
          <cell r="K56">
            <v>23.3322644730303</v>
          </cell>
        </row>
        <row r="57">
          <cell r="K57">
            <v>16.5716168023549</v>
          </cell>
        </row>
        <row r="58">
          <cell r="K58">
            <v>235.379451370851</v>
          </cell>
        </row>
        <row r="59">
          <cell r="K59">
            <v>91.592909589067403</v>
          </cell>
        </row>
        <row r="421">
          <cell r="K421">
            <v>73.007378358840597</v>
          </cell>
        </row>
        <row r="422">
          <cell r="K422">
            <v>71.672081824531901</v>
          </cell>
        </row>
        <row r="423">
          <cell r="K423">
            <v>72.927469924298293</v>
          </cell>
        </row>
        <row r="424">
          <cell r="K424">
            <v>2461.49071665479</v>
          </cell>
        </row>
        <row r="425">
          <cell r="K425">
            <v>2386.9650649755899</v>
          </cell>
        </row>
        <row r="426">
          <cell r="K426">
            <v>2450.7317723798501</v>
          </cell>
        </row>
        <row r="427">
          <cell r="K427">
            <v>37.619497154665602</v>
          </cell>
        </row>
        <row r="428">
          <cell r="K428">
            <v>38.732535079826597</v>
          </cell>
        </row>
        <row r="429">
          <cell r="K429">
            <v>38.112842786193099</v>
          </cell>
        </row>
        <row r="430">
          <cell r="K430">
            <v>67.726538269234297</v>
          </cell>
        </row>
        <row r="431">
          <cell r="K431">
            <v>68.577169887684093</v>
          </cell>
        </row>
        <row r="432">
          <cell r="K432">
            <v>67.411734216202206</v>
          </cell>
        </row>
        <row r="433">
          <cell r="K433">
            <v>45.978704121421401</v>
          </cell>
        </row>
        <row r="434">
          <cell r="K434">
            <v>43.988917339270799</v>
          </cell>
        </row>
        <row r="435">
          <cell r="K435">
            <v>45.312146146811699</v>
          </cell>
        </row>
        <row r="436">
          <cell r="K436">
            <v>19.358803622144499</v>
          </cell>
        </row>
        <row r="437">
          <cell r="K437">
            <v>19.9091150040726</v>
          </cell>
        </row>
        <row r="438">
          <cell r="K438">
            <v>19.9313171398415</v>
          </cell>
        </row>
        <row r="439">
          <cell r="K439">
            <v>83.247991778113303</v>
          </cell>
        </row>
        <row r="440">
          <cell r="K440">
            <v>82.159040025056001</v>
          </cell>
        </row>
        <row r="441">
          <cell r="K441">
            <v>83.613676434636304</v>
          </cell>
        </row>
        <row r="442">
          <cell r="K442">
            <v>87.400975192528094</v>
          </cell>
        </row>
        <row r="443">
          <cell r="K443">
            <v>84.9755868938785</v>
          </cell>
        </row>
        <row r="444">
          <cell r="K444">
            <v>86.030034534806603</v>
          </cell>
        </row>
        <row r="445">
          <cell r="K445">
            <v>303.315941980888</v>
          </cell>
        </row>
        <row r="446">
          <cell r="K446">
            <v>301.93626682225499</v>
          </cell>
        </row>
        <row r="447">
          <cell r="K447">
            <v>309.76636865626102</v>
          </cell>
        </row>
        <row r="449">
          <cell r="K449">
            <v>7.04815959684161</v>
          </cell>
        </row>
        <row r="450">
          <cell r="K450">
            <v>7.1343625646594102</v>
          </cell>
        </row>
        <row r="451">
          <cell r="K451">
            <v>127.715219158214</v>
          </cell>
        </row>
        <row r="452">
          <cell r="K452">
            <v>126.205880309546</v>
          </cell>
        </row>
        <row r="453">
          <cell r="K453">
            <v>129.954199853429</v>
          </cell>
        </row>
        <row r="454">
          <cell r="K454">
            <v>5.4298653165552899</v>
          </cell>
        </row>
        <row r="455">
          <cell r="K455">
            <v>5.2367592283001398</v>
          </cell>
        </row>
        <row r="457">
          <cell r="K457">
            <v>11.7209915303589</v>
          </cell>
        </row>
        <row r="459">
          <cell r="K459">
            <v>10.5090842514917</v>
          </cell>
        </row>
        <row r="460">
          <cell r="K460">
            <v>64.399951988046894</v>
          </cell>
        </row>
        <row r="461">
          <cell r="K461">
            <v>64.275884025116795</v>
          </cell>
        </row>
        <row r="462">
          <cell r="K462">
            <v>66.493949172942294</v>
          </cell>
        </row>
        <row r="463">
          <cell r="K463">
            <v>11.596027509077601</v>
          </cell>
        </row>
        <row r="464">
          <cell r="K464">
            <v>11.2070705271574</v>
          </cell>
        </row>
        <row r="465">
          <cell r="K465">
            <v>11.2341172748269</v>
          </cell>
        </row>
        <row r="466">
          <cell r="K466">
            <v>13.4306402834791</v>
          </cell>
        </row>
        <row r="467">
          <cell r="K467">
            <v>13.2386851938461</v>
          </cell>
        </row>
        <row r="468">
          <cell r="K468">
            <v>12.7993280602543</v>
          </cell>
        </row>
      </sheetData>
      <sheetData sheetId="1"/>
      <sheetData sheetId="2"/>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ter"/>
      <sheetName val="Soil_Composite"/>
      <sheetName val="Soil_Detailed"/>
      <sheetName val="Filter"/>
      <sheetName val="FieldConcentrations"/>
    </sheetNames>
    <sheetDataSet>
      <sheetData sheetId="0" refreshError="1"/>
      <sheetData sheetId="1">
        <row r="8">
          <cell r="R8">
            <v>1.6772417200855987</v>
          </cell>
        </row>
        <row r="9">
          <cell r="R9">
            <v>4.7684208572675875</v>
          </cell>
        </row>
        <row r="10">
          <cell r="R10">
            <v>6.1843169398728586</v>
          </cell>
        </row>
        <row r="11">
          <cell r="R11">
            <v>3.3651405381219188</v>
          </cell>
        </row>
        <row r="12">
          <cell r="R12">
            <v>1.2310943376013941</v>
          </cell>
        </row>
        <row r="13">
          <cell r="R13">
            <v>2.8376546321170988</v>
          </cell>
        </row>
        <row r="14">
          <cell r="R14">
            <v>0.49672862515655392</v>
          </cell>
        </row>
        <row r="15">
          <cell r="R15">
            <v>0.70391550860425967</v>
          </cell>
        </row>
        <row r="16">
          <cell r="R16">
            <v>0.88546930102345389</v>
          </cell>
        </row>
        <row r="23">
          <cell r="R23">
            <v>6.4311329957869239</v>
          </cell>
        </row>
        <row r="24">
          <cell r="R24">
            <v>3.0634798157432503</v>
          </cell>
        </row>
        <row r="25">
          <cell r="R25">
            <v>4.2798846969182236</v>
          </cell>
        </row>
        <row r="26">
          <cell r="R26">
            <v>5.5941240030976731</v>
          </cell>
        </row>
        <row r="27">
          <cell r="R27">
            <v>2.7373968380024749</v>
          </cell>
        </row>
        <row r="28">
          <cell r="R28">
            <v>2.1330035542610131</v>
          </cell>
        </row>
        <row r="29">
          <cell r="R29">
            <v>1.499969859384902</v>
          </cell>
        </row>
        <row r="30">
          <cell r="R30">
            <v>1.0689874561801433</v>
          </cell>
        </row>
        <row r="31">
          <cell r="R31">
            <v>1.0193399498276818</v>
          </cell>
        </row>
        <row r="38">
          <cell r="R38">
            <v>1.4635242536178898</v>
          </cell>
        </row>
        <row r="39">
          <cell r="R39">
            <v>3.0802172104393559</v>
          </cell>
        </row>
        <row r="40">
          <cell r="R40">
            <v>4.1665017641877498</v>
          </cell>
        </row>
        <row r="41">
          <cell r="R41">
            <v>3.9837085333991729</v>
          </cell>
        </row>
        <row r="42">
          <cell r="R42">
            <v>1.8424307628669254</v>
          </cell>
        </row>
        <row r="43">
          <cell r="R43">
            <v>1.7590901912944759</v>
          </cell>
        </row>
        <row r="44">
          <cell r="R44">
            <v>0.72434216275257324</v>
          </cell>
        </row>
        <row r="45">
          <cell r="R45">
            <v>0.57422370040387261</v>
          </cell>
        </row>
      </sheetData>
      <sheetData sheetId="2">
        <row r="7">
          <cell r="J7">
            <v>6.1036549976904671E-2</v>
          </cell>
        </row>
        <row r="8">
          <cell r="J8">
            <v>4.0371664090231798</v>
          </cell>
        </row>
        <row r="9">
          <cell r="J9">
            <v>1.2790982195651204</v>
          </cell>
        </row>
        <row r="10">
          <cell r="J10">
            <v>0.67391037063055492</v>
          </cell>
        </row>
        <row r="11">
          <cell r="J11">
            <v>0.13595458125693938</v>
          </cell>
        </row>
        <row r="12">
          <cell r="J12">
            <v>2.1528920176838467E-2</v>
          </cell>
        </row>
        <row r="13">
          <cell r="J13">
            <v>1.6655858202808606E-2</v>
          </cell>
        </row>
        <row r="14">
          <cell r="J14">
            <v>6.1636751880220123E-2</v>
          </cell>
        </row>
        <row r="15">
          <cell r="J15">
            <v>16.847778094429742</v>
          </cell>
        </row>
        <row r="16">
          <cell r="J16">
            <v>3.3471072050035161E-2</v>
          </cell>
        </row>
        <row r="17">
          <cell r="J17">
            <v>8.9779347989584739</v>
          </cell>
        </row>
        <row r="18">
          <cell r="J18">
            <v>22.659895884767352</v>
          </cell>
        </row>
        <row r="19">
          <cell r="J19">
            <v>4.0987086093720393</v>
          </cell>
        </row>
        <row r="23">
          <cell r="J23">
            <v>1.6234260039082049</v>
          </cell>
        </row>
        <row r="24">
          <cell r="J24">
            <v>1.3828561966693096</v>
          </cell>
        </row>
        <row r="25">
          <cell r="J25">
            <v>3.6766704029313999</v>
          </cell>
        </row>
        <row r="26">
          <cell r="J26">
            <v>0.66534227215428143</v>
          </cell>
        </row>
        <row r="27">
          <cell r="J27">
            <v>4.8927738987480131E-2</v>
          </cell>
        </row>
        <row r="28">
          <cell r="J28">
            <v>0.46727359791770318</v>
          </cell>
        </row>
        <row r="29">
          <cell r="J29">
            <v>3.9103419291245278E-2</v>
          </cell>
        </row>
        <row r="31">
          <cell r="J31">
            <v>0.27178384653938376</v>
          </cell>
        </row>
        <row r="32">
          <cell r="J32">
            <v>2.1132256733247343E-2</v>
          </cell>
        </row>
        <row r="33">
          <cell r="J33">
            <v>0.12423820155140129</v>
          </cell>
        </row>
        <row r="34">
          <cell r="J34">
            <v>3.9678772213326212E-2</v>
          </cell>
        </row>
        <row r="35">
          <cell r="J35">
            <v>4.6010404225590905E-2</v>
          </cell>
        </row>
        <row r="36">
          <cell r="J36">
            <v>4.532193365155841</v>
          </cell>
        </row>
        <row r="37">
          <cell r="J37">
            <v>4.1355007865185374E-2</v>
          </cell>
        </row>
        <row r="38">
          <cell r="J38">
            <v>10.876588272177313</v>
          </cell>
        </row>
        <row r="39">
          <cell r="J39">
            <v>3.9565549113689556E-2</v>
          </cell>
        </row>
        <row r="40">
          <cell r="J40">
            <v>7.6755396750435354</v>
          </cell>
        </row>
        <row r="41">
          <cell r="J41">
            <v>8.1891526215240624</v>
          </cell>
        </row>
        <row r="42">
          <cell r="J42">
            <v>0.72045651043824821</v>
          </cell>
        </row>
        <row r="43">
          <cell r="J43">
            <v>1.2799834768724643</v>
          </cell>
        </row>
        <row r="44">
          <cell r="J44">
            <v>1.8712199479521425</v>
          </cell>
        </row>
        <row r="45">
          <cell r="J45">
            <v>0.10146468867671039</v>
          </cell>
        </row>
        <row r="46">
          <cell r="J46">
            <v>2.8477315563812069</v>
          </cell>
        </row>
        <row r="47">
          <cell r="J47">
            <v>1.1145063022538575</v>
          </cell>
        </row>
        <row r="48">
          <cell r="J48">
            <v>3.6736283476830827</v>
          </cell>
        </row>
        <row r="49">
          <cell r="J49">
            <v>0.41152900271672532</v>
          </cell>
        </row>
        <row r="50">
          <cell r="J50">
            <v>2.2325443284331607E-2</v>
          </cell>
        </row>
        <row r="51">
          <cell r="J51">
            <v>0.46752935157634468</v>
          </cell>
        </row>
        <row r="52">
          <cell r="J52">
            <v>0.53555023358404896</v>
          </cell>
        </row>
        <row r="53">
          <cell r="J53">
            <v>0.222253182633632</v>
          </cell>
        </row>
        <row r="54">
          <cell r="J54">
            <v>2.1343760011410517</v>
          </cell>
        </row>
        <row r="55">
          <cell r="J55">
            <v>4.2553111539115847</v>
          </cell>
        </row>
        <row r="56">
          <cell r="J56">
            <v>5.291470436452558</v>
          </cell>
        </row>
        <row r="57">
          <cell r="J57">
            <v>6.5160838969540905E-2</v>
          </cell>
        </row>
        <row r="58">
          <cell r="J58">
            <v>9.9598524777288748</v>
          </cell>
        </row>
        <row r="59">
          <cell r="J59">
            <v>0.68734057660385717</v>
          </cell>
        </row>
        <row r="60">
          <cell r="J60">
            <v>1.3952170125777958</v>
          </cell>
        </row>
        <row r="61">
          <cell r="J61">
            <v>6.3004998285280207</v>
          </cell>
        </row>
        <row r="62">
          <cell r="J62">
            <v>0.2052335183380106</v>
          </cell>
        </row>
        <row r="63">
          <cell r="J63">
            <v>0.54992963570135955</v>
          </cell>
        </row>
        <row r="64">
          <cell r="J64">
            <v>0.74503157521140406</v>
          </cell>
        </row>
      </sheetData>
      <sheetData sheetId="3" refreshError="1"/>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sAll"/>
      <sheetName val="ConcSpatial"/>
    </sheetNames>
    <sheetDataSet>
      <sheetData sheetId="0">
        <row r="32">
          <cell r="D32">
            <v>-33.234000000000002</v>
          </cell>
        </row>
        <row r="35">
          <cell r="P35">
            <v>1.8293100230621178E-2</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_Checked"/>
      <sheetName val="Raw"/>
      <sheetName val="DuplicatesCheck"/>
      <sheetName val="Missing"/>
      <sheetName val="Relute"/>
      <sheetName val="Feuil1"/>
    </sheetNames>
    <sheetDataSet>
      <sheetData sheetId="0">
        <row r="126">
          <cell r="T126">
            <v>471.74920319287099</v>
          </cell>
        </row>
        <row r="127">
          <cell r="T127">
            <v>474.22718218621202</v>
          </cell>
        </row>
        <row r="128">
          <cell r="T128">
            <v>472.64672953301999</v>
          </cell>
        </row>
        <row r="129">
          <cell r="T129">
            <v>2120.4516908178498</v>
          </cell>
        </row>
        <row r="130">
          <cell r="T130">
            <v>2080.69593460232</v>
          </cell>
        </row>
        <row r="131">
          <cell r="T131">
            <v>2100.5663229462698</v>
          </cell>
        </row>
        <row r="132">
          <cell r="T132">
            <v>3019.24109483951</v>
          </cell>
        </row>
        <row r="133">
          <cell r="T133">
            <v>3090.6124921044102</v>
          </cell>
        </row>
        <row r="134">
          <cell r="T134">
            <v>3091.7061532797602</v>
          </cell>
        </row>
        <row r="135">
          <cell r="T135">
            <v>3069.3377206709702</v>
          </cell>
        </row>
        <row r="136">
          <cell r="T136">
            <v>3175.6051399995499</v>
          </cell>
        </row>
        <row r="137">
          <cell r="T137">
            <v>3233.9531535710998</v>
          </cell>
        </row>
        <row r="138">
          <cell r="T138">
            <v>3435.6861630251401</v>
          </cell>
        </row>
        <row r="139">
          <cell r="T139">
            <v>3502.31098554138</v>
          </cell>
        </row>
        <row r="140">
          <cell r="T140">
            <v>3505.2151102324401</v>
          </cell>
        </row>
        <row r="141">
          <cell r="T141">
            <v>648.89732181636202</v>
          </cell>
        </row>
        <row r="142">
          <cell r="T142">
            <v>650.91624222805603</v>
          </cell>
        </row>
        <row r="143">
          <cell r="T143">
            <v>648.47024747117803</v>
          </cell>
        </row>
        <row r="145">
          <cell r="T145">
            <v>696.81093401000498</v>
          </cell>
        </row>
        <row r="146">
          <cell r="T146">
            <v>700.84591733224295</v>
          </cell>
        </row>
        <row r="147">
          <cell r="T147">
            <v>757.286463977229</v>
          </cell>
        </row>
        <row r="156">
          <cell r="T156">
            <v>65.047846023512193</v>
          </cell>
        </row>
        <row r="157">
          <cell r="T157">
            <v>65.024861985368403</v>
          </cell>
        </row>
        <row r="158">
          <cell r="T158">
            <v>65.611587592615194</v>
          </cell>
        </row>
        <row r="162">
          <cell r="T162">
            <v>27.259655620893302</v>
          </cell>
        </row>
        <row r="163">
          <cell r="T163">
            <v>27.4200140762137</v>
          </cell>
        </row>
        <row r="165">
          <cell r="T165">
            <v>53.575537003748202</v>
          </cell>
        </row>
        <row r="166">
          <cell r="T166">
            <v>53.9293297633983</v>
          </cell>
        </row>
        <row r="167">
          <cell r="T167">
            <v>55.133931232614401</v>
          </cell>
        </row>
        <row r="168">
          <cell r="T168">
            <v>27.7772076144661</v>
          </cell>
        </row>
      </sheetData>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tochlor"/>
      <sheetName val="Alachlor"/>
      <sheetName val="Metalaxyl"/>
      <sheetName val="Metolachlor_d11"/>
      <sheetName val="s-Metolachlor"/>
      <sheetName val="Pendimethalin"/>
      <sheetName val="Butachlor"/>
      <sheetName val="Component"/>
      <sheetName val="mdlCalcs"/>
    </sheetNames>
    <sheetDataSet>
      <sheetData sheetId="0"/>
      <sheetData sheetId="1"/>
      <sheetData sheetId="2"/>
      <sheetData sheetId="3"/>
      <sheetData sheetId="4">
        <row r="13">
          <cell r="F13">
            <v>3880.0678055328099</v>
          </cell>
        </row>
        <row r="14">
          <cell r="F14">
            <v>3535.8848192660398</v>
          </cell>
        </row>
        <row r="15">
          <cell r="F15">
            <v>1051.4709883851599</v>
          </cell>
        </row>
        <row r="28">
          <cell r="F28">
            <v>2062.3851438493998</v>
          </cell>
        </row>
        <row r="29">
          <cell r="F29">
            <v>1609.94107313369</v>
          </cell>
        </row>
      </sheetData>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tochlor"/>
      <sheetName val="Alachlor"/>
      <sheetName val="Metalaxyl"/>
      <sheetName val="Metolachlor_d11"/>
      <sheetName val="s-Metolachlor"/>
      <sheetName val="Pendimethalin"/>
      <sheetName val="Butachlor"/>
      <sheetName val="Component"/>
      <sheetName val="mdlCalcs"/>
    </sheetNames>
    <sheetDataSet>
      <sheetData sheetId="0"/>
      <sheetData sheetId="1"/>
      <sheetData sheetId="2"/>
      <sheetData sheetId="3"/>
      <sheetData sheetId="4">
        <row r="9">
          <cell r="F9">
            <v>18.400012440558601</v>
          </cell>
        </row>
        <row r="10">
          <cell r="F10">
            <v>7.4712790275197296</v>
          </cell>
        </row>
        <row r="11">
          <cell r="F11">
            <v>29.51021402061</v>
          </cell>
        </row>
        <row r="12">
          <cell r="F12">
            <v>16.791080681300802</v>
          </cell>
        </row>
        <row r="14">
          <cell r="F14">
            <v>62.670649186295201</v>
          </cell>
        </row>
        <row r="15">
          <cell r="F15">
            <v>87.802646043399307</v>
          </cell>
        </row>
      </sheetData>
      <sheetData sheetId="5"/>
      <sheetData sheetId="6"/>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tochlor"/>
      <sheetName val="Alachlor"/>
      <sheetName val="Metalaxyl"/>
      <sheetName val="Metolachlor_d11"/>
      <sheetName val="s-Metolachlor"/>
      <sheetName val="Pendimethalin"/>
      <sheetName val="Butachlor"/>
      <sheetName val="Component"/>
      <sheetName val="mdlCalcs"/>
    </sheetNames>
    <sheetDataSet>
      <sheetData sheetId="0" refreshError="1"/>
      <sheetData sheetId="1" refreshError="1"/>
      <sheetData sheetId="2" refreshError="1"/>
      <sheetData sheetId="3" refreshError="1"/>
      <sheetData sheetId="4" refreshError="1">
        <row r="8">
          <cell r="F8">
            <v>9414.5566102394096</v>
          </cell>
        </row>
      </sheetData>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tochlor"/>
      <sheetName val="Alachlor"/>
      <sheetName val="Metalaxyl"/>
      <sheetName val="Metolachlor_d11"/>
      <sheetName val="s-Metolachlor"/>
      <sheetName val="Pendimethalin"/>
      <sheetName val="Butachlor"/>
      <sheetName val="Component"/>
      <sheetName val="mdlCalcs"/>
    </sheetNames>
    <sheetDataSet>
      <sheetData sheetId="0"/>
      <sheetData sheetId="1"/>
      <sheetData sheetId="2"/>
      <sheetData sheetId="3"/>
      <sheetData sheetId="4">
        <row r="13">
          <cell r="F13">
            <v>156.36041994941101</v>
          </cell>
        </row>
        <row r="16">
          <cell r="F16">
            <v>116.46558830968399</v>
          </cell>
        </row>
      </sheetData>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_Checked"/>
      <sheetName val="Raw"/>
      <sheetName val="Review-CrazyResults"/>
    </sheetNames>
    <sheetDataSet>
      <sheetData sheetId="0">
        <row r="491">
          <cell r="S491">
            <v>3426.5187291304501</v>
          </cell>
        </row>
        <row r="500">
          <cell r="S500">
            <v>5821.3814131684003</v>
          </cell>
        </row>
        <row r="501">
          <cell r="S501">
            <v>5765.65601513197</v>
          </cell>
        </row>
      </sheetData>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ieving"/>
      <sheetName val="Water_content"/>
      <sheetName val="SOM_550"/>
      <sheetName val="SOM_375"/>
      <sheetName val="pH"/>
      <sheetName val="Extraction"/>
      <sheetName val="SOM_comparison"/>
    </sheetNames>
    <sheetDataSet>
      <sheetData sheetId="0" refreshError="1"/>
      <sheetData sheetId="1" refreshError="1"/>
      <sheetData sheetId="2">
        <row r="28">
          <cell r="V28">
            <v>29.328651699818732</v>
          </cell>
        </row>
        <row r="30">
          <cell r="V30">
            <v>14.368422708709494</v>
          </cell>
        </row>
        <row r="31">
          <cell r="V31">
            <v>17.822154256860923</v>
          </cell>
        </row>
        <row r="32">
          <cell r="V32">
            <v>21.363717474139616</v>
          </cell>
        </row>
        <row r="33">
          <cell r="V33">
            <v>27.941637719342122</v>
          </cell>
        </row>
        <row r="34">
          <cell r="V34">
            <v>30.382050070659812</v>
          </cell>
        </row>
        <row r="35">
          <cell r="V35">
            <v>26.874851050549779</v>
          </cell>
        </row>
        <row r="36">
          <cell r="V36">
            <v>34.334950650734086</v>
          </cell>
        </row>
        <row r="37">
          <cell r="V37">
            <v>32.785200433011063</v>
          </cell>
        </row>
        <row r="38">
          <cell r="V38">
            <v>28.728510258886171</v>
          </cell>
        </row>
        <row r="39">
          <cell r="V39">
            <v>18.211212627957654</v>
          </cell>
        </row>
        <row r="40">
          <cell r="V40">
            <v>20.190814038707078</v>
          </cell>
        </row>
        <row r="41">
          <cell r="V41">
            <v>17.720031814436513</v>
          </cell>
        </row>
        <row r="42">
          <cell r="V42">
            <v>7.8373710767148212</v>
          </cell>
        </row>
        <row r="43">
          <cell r="V43">
            <v>10.13187782503014</v>
          </cell>
        </row>
        <row r="44">
          <cell r="V44">
            <v>8.0317718696462119</v>
          </cell>
        </row>
        <row r="45">
          <cell r="V45">
            <v>13.933538829501222</v>
          </cell>
        </row>
        <row r="46">
          <cell r="V46">
            <v>13.062549419443494</v>
          </cell>
        </row>
      </sheetData>
      <sheetData sheetId="3" refreshError="1"/>
      <sheetData sheetId="4" refreshError="1"/>
      <sheetData sheetId="5" refreshError="1"/>
      <sheetData sheetId="6">
        <row r="28">
          <cell r="Q28">
            <v>5.0132000000000003</v>
          </cell>
        </row>
        <row r="30">
          <cell r="Q30">
            <v>5.0129000000000001</v>
          </cell>
        </row>
        <row r="31">
          <cell r="Q31">
            <v>4.9997999999999996</v>
          </cell>
        </row>
        <row r="32">
          <cell r="Q32">
            <v>5.0075000000000003</v>
          </cell>
        </row>
        <row r="33">
          <cell r="Q33">
            <v>5.0502000000000002</v>
          </cell>
        </row>
        <row r="34">
          <cell r="Q34">
            <v>5.0027999999999997</v>
          </cell>
        </row>
        <row r="35">
          <cell r="Q35">
            <v>5.0083000000000002</v>
          </cell>
        </row>
        <row r="36">
          <cell r="Q36">
            <v>5.0137</v>
          </cell>
        </row>
        <row r="37">
          <cell r="Q37">
            <v>5.0228000000000002</v>
          </cell>
        </row>
        <row r="38">
          <cell r="Q38">
            <v>4.9981</v>
          </cell>
        </row>
        <row r="39">
          <cell r="Q39">
            <v>4.9946999999999999</v>
          </cell>
        </row>
        <row r="40">
          <cell r="Q40">
            <v>5.0401999999999996</v>
          </cell>
        </row>
        <row r="41">
          <cell r="Q41">
            <v>5.0437000000000003</v>
          </cell>
        </row>
        <row r="42">
          <cell r="Q42">
            <v>5.1658999999999997</v>
          </cell>
        </row>
        <row r="43">
          <cell r="Q43">
            <v>5.165</v>
          </cell>
        </row>
        <row r="44">
          <cell r="Q44">
            <v>5.0243000000000002</v>
          </cell>
        </row>
        <row r="45">
          <cell r="Q45">
            <v>5.0317999999999996</v>
          </cell>
        </row>
        <row r="46">
          <cell r="Q46">
            <v>5.0412999999999997</v>
          </cell>
        </row>
        <row r="47">
          <cell r="Q47">
            <v>5.0092999999999996</v>
          </cell>
        </row>
      </sheetData>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ieving"/>
      <sheetName val="Water_content"/>
      <sheetName val="SOM_375"/>
      <sheetName val="SOM_550"/>
      <sheetName val="pH"/>
      <sheetName val="Extraction"/>
      <sheetName val="SOM_comparison"/>
    </sheetNames>
    <sheetDataSet>
      <sheetData sheetId="0" refreshError="1"/>
      <sheetData sheetId="1">
        <row r="68">
          <cell r="H68">
            <v>42521</v>
          </cell>
        </row>
        <row r="99">
          <cell r="H99">
            <v>42563</v>
          </cell>
        </row>
        <row r="100">
          <cell r="H100">
            <v>42563</v>
          </cell>
        </row>
        <row r="101">
          <cell r="H101">
            <v>42563</v>
          </cell>
        </row>
        <row r="102">
          <cell r="H102">
            <v>42563</v>
          </cell>
        </row>
        <row r="103">
          <cell r="H103">
            <v>42563</v>
          </cell>
        </row>
        <row r="111">
          <cell r="H111">
            <v>42563</v>
          </cell>
        </row>
        <row r="112">
          <cell r="H112">
            <v>42563</v>
          </cell>
        </row>
        <row r="113">
          <cell r="H113">
            <v>42563</v>
          </cell>
        </row>
        <row r="114">
          <cell r="H114">
            <v>42563</v>
          </cell>
        </row>
        <row r="115">
          <cell r="H115">
            <v>42563</v>
          </cell>
        </row>
        <row r="116">
          <cell r="H116">
            <v>42549</v>
          </cell>
        </row>
        <row r="123">
          <cell r="H123">
            <v>42549</v>
          </cell>
        </row>
        <row r="124">
          <cell r="H124">
            <v>42563</v>
          </cell>
        </row>
        <row r="125">
          <cell r="H125">
            <v>42563</v>
          </cell>
        </row>
        <row r="130">
          <cell r="H130">
            <v>42542</v>
          </cell>
        </row>
        <row r="131">
          <cell r="H131">
            <v>42542</v>
          </cell>
        </row>
      </sheetData>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69"/>
  <sheetViews>
    <sheetView zoomScale="90" zoomScaleNormal="90" zoomScalePageLayoutView="90" workbookViewId="0">
      <pane xSplit="1" ySplit="7" topLeftCell="B23" activePane="bottomRight" state="frozenSplit"/>
      <selection pane="topRight" activeCell="D1" sqref="D1"/>
      <selection pane="bottomLeft" activeCell="A7" sqref="A7"/>
      <selection pane="bottomRight" activeCell="A47" sqref="A47:XFD52"/>
    </sheetView>
  </sheetViews>
  <sheetFormatPr baseColWidth="10" defaultColWidth="10.85546875" defaultRowHeight="15" x14ac:dyDescent="0.25"/>
  <cols>
    <col min="1" max="1" width="21.140625" style="1" customWidth="1"/>
    <col min="2" max="4" width="12.140625" style="1" customWidth="1"/>
    <col min="5" max="5" width="17.85546875" style="1" customWidth="1"/>
    <col min="6" max="8" width="12.140625" style="1" customWidth="1"/>
    <col min="9" max="9" width="13.42578125" style="1" customWidth="1"/>
    <col min="10" max="10" width="20.42578125" style="1" customWidth="1"/>
    <col min="11" max="11" width="20" style="1" customWidth="1"/>
    <col min="12" max="12" width="15.140625" style="1" customWidth="1"/>
    <col min="13" max="14" width="13.42578125" style="51" customWidth="1"/>
    <col min="15" max="15" width="15" style="51" customWidth="1"/>
    <col min="16" max="16" width="13.42578125" style="51" customWidth="1"/>
    <col min="17" max="20" width="15" style="87" customWidth="1"/>
    <col min="21" max="21" width="12.140625" style="51" customWidth="1"/>
    <col min="22" max="22" width="19.140625" style="51" customWidth="1"/>
    <col min="23" max="23" width="18.140625" style="51" customWidth="1"/>
    <col min="24" max="24" width="10.85546875" style="1"/>
    <col min="25" max="25" width="18.85546875" style="51" customWidth="1"/>
    <col min="26" max="26" width="14" style="1" customWidth="1"/>
    <col min="27" max="28" width="21.85546875" style="1" customWidth="1"/>
    <col min="29" max="29" width="10.85546875" style="1"/>
    <col min="30" max="30" width="11.85546875" style="1" customWidth="1"/>
    <col min="32" max="16384" width="10.85546875" style="1"/>
  </cols>
  <sheetData>
    <row r="1" spans="1:42" x14ac:dyDescent="0.25">
      <c r="A1" s="16" t="s">
        <v>113</v>
      </c>
      <c r="B1" s="17">
        <v>1</v>
      </c>
      <c r="D1" s="49" t="s">
        <v>479</v>
      </c>
      <c r="F1"/>
      <c r="G1"/>
      <c r="H1"/>
      <c r="I1" s="49" t="s">
        <v>480</v>
      </c>
      <c r="J1" s="51" t="s">
        <v>436</v>
      </c>
      <c r="K1" s="51" t="s">
        <v>481</v>
      </c>
      <c r="L1" s="51" t="s">
        <v>507</v>
      </c>
      <c r="N1" t="s">
        <v>477</v>
      </c>
      <c r="O1" s="51" t="s">
        <v>476</v>
      </c>
      <c r="P1" s="51">
        <v>1</v>
      </c>
    </row>
    <row r="2" spans="1:42" x14ac:dyDescent="0.25">
      <c r="A2" s="16" t="s">
        <v>114</v>
      </c>
      <c r="B2" s="16">
        <v>1000</v>
      </c>
      <c r="D2" s="51">
        <v>3</v>
      </c>
      <c r="F2"/>
      <c r="G2"/>
      <c r="H2"/>
      <c r="I2" s="27">
        <v>12.0107</v>
      </c>
      <c r="J2" s="51">
        <v>14.0067</v>
      </c>
      <c r="K2" s="51">
        <v>35.453000000000003</v>
      </c>
      <c r="L2" s="51">
        <v>1.0079400000000001</v>
      </c>
      <c r="N2" s="51">
        <v>283.79599999999999</v>
      </c>
      <c r="O2" t="s">
        <v>149</v>
      </c>
      <c r="P2" s="51">
        <v>15</v>
      </c>
    </row>
    <row r="3" spans="1:42" x14ac:dyDescent="0.2">
      <c r="A3" s="16" t="s">
        <v>116</v>
      </c>
      <c r="B3" s="16">
        <f>B2*(10^(-6))</f>
        <v>1E-3</v>
      </c>
      <c r="O3" s="51" t="s">
        <v>523</v>
      </c>
      <c r="P3" s="51">
        <v>22</v>
      </c>
      <c r="AN3" s="1" t="s">
        <v>809</v>
      </c>
      <c r="AO3" s="1">
        <v>330000</v>
      </c>
    </row>
    <row r="4" spans="1:42" x14ac:dyDescent="0.2">
      <c r="AK4" s="1" t="s">
        <v>808</v>
      </c>
      <c r="AN4" s="1" t="s">
        <v>813</v>
      </c>
      <c r="AO4" s="1">
        <f>30*10^-6</f>
        <v>2.9999999999999997E-5</v>
      </c>
      <c r="AP4" s="1" t="s">
        <v>817</v>
      </c>
    </row>
    <row r="5" spans="1:42" x14ac:dyDescent="0.2">
      <c r="Y5" s="51" t="s">
        <v>541</v>
      </c>
      <c r="AA5" s="51" t="s">
        <v>542</v>
      </c>
      <c r="AB5" s="51" t="s">
        <v>543</v>
      </c>
      <c r="AJ5" s="1" t="s">
        <v>806</v>
      </c>
      <c r="AK5" s="1" t="s">
        <v>807</v>
      </c>
      <c r="AL5" s="1" t="s">
        <v>810</v>
      </c>
      <c r="AM5" s="1" t="s">
        <v>812</v>
      </c>
      <c r="AN5" s="1" t="s">
        <v>814</v>
      </c>
      <c r="AO5" s="1" t="s">
        <v>815</v>
      </c>
    </row>
    <row r="6" spans="1:42" s="170" customFormat="1" ht="38.25" x14ac:dyDescent="0.2">
      <c r="A6" s="532" t="s">
        <v>0</v>
      </c>
      <c r="B6" s="167" t="s">
        <v>1</v>
      </c>
      <c r="C6" s="167" t="s">
        <v>1</v>
      </c>
      <c r="D6" s="167" t="s">
        <v>1</v>
      </c>
      <c r="E6" s="167" t="s">
        <v>1</v>
      </c>
      <c r="F6" s="167" t="s">
        <v>1</v>
      </c>
      <c r="G6" s="168" t="s">
        <v>154</v>
      </c>
      <c r="H6" s="167"/>
      <c r="I6" s="167" t="s">
        <v>121</v>
      </c>
      <c r="J6" s="168" t="s">
        <v>492</v>
      </c>
      <c r="K6" s="167"/>
      <c r="L6" s="167" t="s">
        <v>110</v>
      </c>
      <c r="M6" s="168" t="s">
        <v>115</v>
      </c>
      <c r="N6" s="168" t="s">
        <v>115</v>
      </c>
      <c r="O6" s="168" t="s">
        <v>115</v>
      </c>
      <c r="P6" s="168" t="s">
        <v>115</v>
      </c>
      <c r="Q6" s="168" t="s">
        <v>487</v>
      </c>
      <c r="R6" s="168" t="s">
        <v>154</v>
      </c>
      <c r="S6" s="168" t="s">
        <v>529</v>
      </c>
      <c r="T6" s="168"/>
      <c r="U6" s="168" t="s">
        <v>150</v>
      </c>
      <c r="V6" s="168" t="s">
        <v>462</v>
      </c>
      <c r="W6" s="168" t="s">
        <v>461</v>
      </c>
      <c r="X6" s="168" t="s">
        <v>437</v>
      </c>
      <c r="Y6" s="169" t="s">
        <v>455</v>
      </c>
      <c r="AA6" s="169" t="s">
        <v>531</v>
      </c>
      <c r="AB6" s="169" t="s">
        <v>531</v>
      </c>
      <c r="AJ6" s="513" t="s">
        <v>805</v>
      </c>
    </row>
    <row r="7" spans="1:42" s="170" customFormat="1" ht="25.5" x14ac:dyDescent="0.2">
      <c r="A7" s="532"/>
      <c r="B7" s="171" t="s">
        <v>2</v>
      </c>
      <c r="C7" s="171" t="s">
        <v>106</v>
      </c>
      <c r="D7" s="171" t="s">
        <v>107</v>
      </c>
      <c r="E7" s="171" t="s">
        <v>108</v>
      </c>
      <c r="F7" s="171" t="s">
        <v>109</v>
      </c>
      <c r="G7" s="171"/>
      <c r="H7" s="171"/>
      <c r="I7" s="171" t="s">
        <v>122</v>
      </c>
      <c r="J7" s="175"/>
      <c r="K7" s="175"/>
      <c r="L7" s="172" t="s">
        <v>111</v>
      </c>
      <c r="M7" s="172" t="s">
        <v>123</v>
      </c>
      <c r="N7" s="172" t="s">
        <v>124</v>
      </c>
      <c r="O7" s="172" t="s">
        <v>125</v>
      </c>
      <c r="P7" s="172" t="s">
        <v>126</v>
      </c>
      <c r="Q7" s="172" t="s">
        <v>127</v>
      </c>
      <c r="R7" s="172"/>
      <c r="S7" s="172"/>
      <c r="T7" s="172"/>
      <c r="U7" s="172" t="s">
        <v>151</v>
      </c>
      <c r="V7" s="172" t="s">
        <v>152</v>
      </c>
      <c r="W7" s="172" t="s">
        <v>152</v>
      </c>
      <c r="X7" s="172" t="s">
        <v>152</v>
      </c>
      <c r="Y7" s="169" t="s">
        <v>152</v>
      </c>
      <c r="Z7" s="170" t="s">
        <v>534</v>
      </c>
      <c r="AC7" s="170" t="s">
        <v>532</v>
      </c>
      <c r="AD7" s="170" t="s">
        <v>533</v>
      </c>
      <c r="AF7" s="170" t="s">
        <v>472</v>
      </c>
      <c r="AI7" s="170" t="s">
        <v>816</v>
      </c>
      <c r="AJ7" s="513" t="s">
        <v>806</v>
      </c>
      <c r="AK7" s="170" t="s">
        <v>807</v>
      </c>
      <c r="AL7" s="170" t="s">
        <v>810</v>
      </c>
      <c r="AM7" s="170" t="s">
        <v>812</v>
      </c>
      <c r="AN7" s="170" t="s">
        <v>814</v>
      </c>
      <c r="AO7" s="170" t="s">
        <v>815</v>
      </c>
    </row>
    <row r="8" spans="1:42" s="148" customFormat="1" x14ac:dyDescent="0.2">
      <c r="A8" s="159" t="s">
        <v>30</v>
      </c>
      <c r="B8" s="160">
        <f>F8</f>
        <v>140.02583795679968</v>
      </c>
      <c r="C8" s="148">
        <f>'[1]s-Metolachlor'!$F$9</f>
        <v>127.791517678934</v>
      </c>
      <c r="D8" s="148">
        <f>'[1]s-Metolachlor'!$F$10</f>
        <v>143.166535383678</v>
      </c>
      <c r="E8" s="148">
        <f>'[1]s-Metolachlor'!$F$11</f>
        <v>149.11946080778699</v>
      </c>
      <c r="F8" s="148">
        <f t="shared" ref="F8:F35" si="0">AVERAGE(C8:E8)</f>
        <v>140.02583795679968</v>
      </c>
      <c r="G8" s="148">
        <f>STDEVA(C8:E8)</f>
        <v>11.005374812894699</v>
      </c>
      <c r="I8" s="1">
        <f>MAX(C8:E8)/B8</f>
        <v>1.0649424633601754</v>
      </c>
      <c r="J8" s="154">
        <f xml:space="preserve"> F8/Q8</f>
        <v>570</v>
      </c>
      <c r="K8" s="154"/>
      <c r="L8" s="151">
        <v>570</v>
      </c>
      <c r="M8" s="150">
        <f t="shared" ref="M8:M34" si="1">(B8*$B$3*$B$1)/(L8*10^(-3))</f>
        <v>0.24565936483649065</v>
      </c>
      <c r="N8" s="150">
        <f t="shared" ref="N8:N34" si="2">(C8*$B$3*$B$1)/($L8*10^(-3))</f>
        <v>0.22419564505076139</v>
      </c>
      <c r="O8" s="150">
        <f t="shared" ref="O8:O34" si="3">(D8*$B$3*$B$1)/($L8*10^(-3))</f>
        <v>0.25116936032224207</v>
      </c>
      <c r="P8" s="150">
        <f t="shared" ref="P8:P34" si="4">(E8*$B$3*$B$1)/($L8*10^(-3))</f>
        <v>0.26161308913646836</v>
      </c>
      <c r="Q8" s="161">
        <f t="shared" ref="Q8:Q34" si="5">(F8*$B$3*$B$1)/($L8*10^(-3))</f>
        <v>0.24565936483649065</v>
      </c>
      <c r="R8" s="161">
        <f>(G8*$B$3*$B$1)/($L8*10^(-3))</f>
        <v>1.9307675110341576E-2</v>
      </c>
      <c r="S8" s="161">
        <f>IF(R8&gt;0,(R8/Q8)*100)</f>
        <v>7.8595314789617916</v>
      </c>
      <c r="T8" s="161"/>
      <c r="U8" s="150">
        <f t="shared" ref="U8:U52" si="6">B8*10^(-6)/$N$2</f>
        <v>4.934031415411059E-7</v>
      </c>
      <c r="V8" s="150">
        <f t="shared" ref="V8:V52" si="7">U8*$D$2*10^(-6)*$P$2*$I$2*10^9</f>
        <v>0.26667527004484926</v>
      </c>
      <c r="W8" s="150">
        <f t="shared" ref="W8:W52" si="8">V8*I8</f>
        <v>0.28399381899880177</v>
      </c>
      <c r="X8" s="150">
        <f t="shared" ref="X8:X52" si="9">U8*$D$2*10^(-6)*$P$1*$J$2*10^9</f>
        <v>2.0732849347871424E-2</v>
      </c>
      <c r="Y8" s="150"/>
      <c r="AI8" s="148">
        <f>F8</f>
        <v>140.02583795679968</v>
      </c>
      <c r="AJ8" s="33">
        <f>330000/AI8</f>
        <v>2356.7079105915477</v>
      </c>
      <c r="AK8" s="33">
        <v>500</v>
      </c>
      <c r="AL8" s="33">
        <f>AK8*10^-6</f>
        <v>5.0000000000000001E-4</v>
      </c>
      <c r="AM8" s="33">
        <f>F8*AL8</f>
        <v>7.0012918978399841E-2</v>
      </c>
      <c r="AN8" s="33">
        <f>AM8/$AO$4</f>
        <v>2333.7639659466618</v>
      </c>
      <c r="AO8" s="33">
        <f>AN8*10^-6</f>
        <v>2.3337639659466616E-3</v>
      </c>
    </row>
    <row r="9" spans="1:42" x14ac:dyDescent="0.2">
      <c r="A9" s="3" t="s">
        <v>31</v>
      </c>
      <c r="B9" s="2">
        <v>23264.764131818803</v>
      </c>
      <c r="C9" s="4">
        <v>13309.821764512601</v>
      </c>
      <c r="D9" s="4">
        <v>13258.905755604599</v>
      </c>
      <c r="E9" s="4">
        <v>12327.9239059762</v>
      </c>
      <c r="F9" s="1">
        <f t="shared" si="0"/>
        <v>12965.550475364469</v>
      </c>
      <c r="G9" s="148">
        <f t="shared" ref="G9:G51" si="10">STDEVA(C9:E9)</f>
        <v>552.78733838897494</v>
      </c>
      <c r="H9" s="148"/>
      <c r="I9" s="1">
        <f t="shared" ref="I9:I35" si="11">MAX(C9:E9)/B9</f>
        <v>0.57210215797154784</v>
      </c>
      <c r="J9" s="154">
        <f t="shared" ref="J9:J52" si="12" xml:space="preserve"> F9/Q9</f>
        <v>1910</v>
      </c>
      <c r="K9" s="5"/>
      <c r="L9" s="9">
        <v>1910</v>
      </c>
      <c r="M9" s="54">
        <f t="shared" si="1"/>
        <v>12.180504781056964</v>
      </c>
      <c r="N9" s="54">
        <f t="shared" si="2"/>
        <v>6.9684930704254446</v>
      </c>
      <c r="O9" s="54">
        <f t="shared" si="3"/>
        <v>6.9418354741385331</v>
      </c>
      <c r="P9" s="54">
        <f t="shared" si="4"/>
        <v>6.4544104219770677</v>
      </c>
      <c r="Q9" s="119">
        <f t="shared" si="5"/>
        <v>6.78824632218035</v>
      </c>
      <c r="R9" s="161">
        <f t="shared" ref="R9:R46" si="13">(G9*$B$3*$B$1)/($L9*10^(-3))</f>
        <v>0.28941745465391361</v>
      </c>
      <c r="S9" s="161">
        <f t="shared" ref="S9:S46" si="14">IF(R9&gt;0,(R9/Q9)*100)</f>
        <v>4.2635084367556395</v>
      </c>
      <c r="T9" s="161"/>
      <c r="U9" s="51">
        <f t="shared" si="6"/>
        <v>8.1977068499269914E-5</v>
      </c>
      <c r="V9" s="51">
        <f t="shared" si="7"/>
        <v>44.30708894808815</v>
      </c>
      <c r="W9" s="150">
        <f t="shared" si="8"/>
        <v>25.34818120063855</v>
      </c>
      <c r="X9" s="51">
        <f t="shared" si="9"/>
        <v>3.4446846160461719</v>
      </c>
      <c r="AI9" s="148">
        <f t="shared" ref="AI9:AI52" si="15">F9</f>
        <v>12965.550475364469</v>
      </c>
      <c r="AJ9" s="1">
        <f t="shared" ref="AJ9:AJ52" si="16">330000/AI9</f>
        <v>25.452062419333839</v>
      </c>
    </row>
    <row r="10" spans="1:42" x14ac:dyDescent="0.2">
      <c r="A10" s="3" t="s">
        <v>32</v>
      </c>
      <c r="B10" s="2">
        <v>22316.341447147526</v>
      </c>
      <c r="C10" s="4">
        <v>12917.6394143498</v>
      </c>
      <c r="D10" s="4">
        <v>12194.357520914</v>
      </c>
      <c r="E10" s="4">
        <v>12482.5227345941</v>
      </c>
      <c r="F10" s="1">
        <f t="shared" si="0"/>
        <v>12531.506556619301</v>
      </c>
      <c r="G10" s="148">
        <f t="shared" si="10"/>
        <v>364.12049579523313</v>
      </c>
      <c r="H10" s="148"/>
      <c r="I10" s="1">
        <f t="shared" si="11"/>
        <v>0.57884216572609093</v>
      </c>
      <c r="J10" s="154">
        <f t="shared" si="12"/>
        <v>1910.0000000000002</v>
      </c>
      <c r="K10" s="5"/>
      <c r="L10" s="9">
        <v>1910</v>
      </c>
      <c r="M10" s="54">
        <f t="shared" si="1"/>
        <v>11.683948401647918</v>
      </c>
      <c r="N10" s="54">
        <f t="shared" si="2"/>
        <v>6.76316199704178</v>
      </c>
      <c r="O10" s="54">
        <f t="shared" si="3"/>
        <v>6.3844803774418848</v>
      </c>
      <c r="P10" s="54">
        <f t="shared" si="4"/>
        <v>6.5353522170649736</v>
      </c>
      <c r="Q10" s="119">
        <f t="shared" si="5"/>
        <v>6.5609981971828795</v>
      </c>
      <c r="R10" s="161">
        <f t="shared" si="13"/>
        <v>0.19063900303415346</v>
      </c>
      <c r="S10" s="161">
        <f t="shared" si="14"/>
        <v>2.9056402288909156</v>
      </c>
      <c r="T10" s="161"/>
      <c r="U10" s="51">
        <f t="shared" si="6"/>
        <v>7.863515147199934E-5</v>
      </c>
      <c r="V10" s="51">
        <f t="shared" si="7"/>
        <v>42.500844620313408</v>
      </c>
      <c r="W10" s="150">
        <f t="shared" si="8"/>
        <v>24.601280945210295</v>
      </c>
      <c r="X10" s="51">
        <f t="shared" si="9"/>
        <v>3.3042569283685594</v>
      </c>
      <c r="AI10" s="148">
        <f t="shared" si="15"/>
        <v>12531.506556619301</v>
      </c>
      <c r="AJ10" s="1">
        <f t="shared" si="16"/>
        <v>26.33362545109868</v>
      </c>
    </row>
    <row r="11" spans="1:42" x14ac:dyDescent="0.2">
      <c r="A11" s="3" t="s">
        <v>33</v>
      </c>
      <c r="B11" s="2">
        <v>26510.484091108268</v>
      </c>
      <c r="C11" s="4">
        <v>16379.196030122501</v>
      </c>
      <c r="D11" s="4">
        <v>17042.363633213001</v>
      </c>
      <c r="E11" s="4">
        <v>17577.670473193099</v>
      </c>
      <c r="F11" s="1">
        <f t="shared" si="0"/>
        <v>16999.743378842864</v>
      </c>
      <c r="G11" s="148">
        <f t="shared" si="10"/>
        <v>600.37289432091791</v>
      </c>
      <c r="H11" s="148"/>
      <c r="I11" s="1">
        <f t="shared" si="11"/>
        <v>0.66304600145301484</v>
      </c>
      <c r="J11" s="154">
        <f t="shared" si="12"/>
        <v>1800</v>
      </c>
      <c r="K11" s="5"/>
      <c r="L11" s="9">
        <v>1800</v>
      </c>
      <c r="M11" s="54">
        <f t="shared" si="1"/>
        <v>14.728046717282371</v>
      </c>
      <c r="N11" s="54">
        <f t="shared" si="2"/>
        <v>9.0995533500680548</v>
      </c>
      <c r="O11" s="54">
        <f t="shared" si="3"/>
        <v>9.4679797962294447</v>
      </c>
      <c r="P11" s="54">
        <f t="shared" si="4"/>
        <v>9.7653724851072763</v>
      </c>
      <c r="Q11" s="119">
        <f t="shared" si="5"/>
        <v>9.4443018771349241</v>
      </c>
      <c r="R11" s="182">
        <f t="shared" si="13"/>
        <v>0.3335404968449544</v>
      </c>
      <c r="S11" s="161">
        <f t="shared" si="14"/>
        <v>3.5316585723765441</v>
      </c>
      <c r="T11" s="161"/>
      <c r="U11" s="51">
        <f t="shared" si="6"/>
        <v>9.3413875076140139E-5</v>
      </c>
      <c r="V11" s="51">
        <f t="shared" si="7"/>
        <v>50.488471321964845</v>
      </c>
      <c r="W11" s="150">
        <f t="shared" si="8"/>
        <v>33.476179029504003</v>
      </c>
      <c r="X11" s="51">
        <f t="shared" si="9"/>
        <v>3.9252603720869166</v>
      </c>
      <c r="AI11" s="148">
        <f t="shared" si="15"/>
        <v>16999.743378842864</v>
      </c>
      <c r="AJ11" s="1">
        <f t="shared" si="16"/>
        <v>19.412057737924652</v>
      </c>
      <c r="AK11" s="33">
        <v>500</v>
      </c>
      <c r="AL11" s="33">
        <f>AK11*10^-6</f>
        <v>5.0000000000000001E-4</v>
      </c>
      <c r="AM11" s="33">
        <f>F11*AL11</f>
        <v>8.4998716894214326</v>
      </c>
      <c r="AN11" s="33">
        <f>AM11/$AO$4</f>
        <v>283329.05631404778</v>
      </c>
      <c r="AO11" s="33">
        <f>AN11*10^-6</f>
        <v>0.28332905631404776</v>
      </c>
    </row>
    <row r="12" spans="1:42" s="33" customFormat="1" ht="15.75" customHeight="1" x14ac:dyDescent="0.2">
      <c r="A12" s="3" t="s">
        <v>34</v>
      </c>
      <c r="B12" s="157">
        <v>3425.6432706098331</v>
      </c>
      <c r="C12" s="4">
        <v>2024.7733825268799</v>
      </c>
      <c r="D12" s="4">
        <v>2125.9293235806299</v>
      </c>
      <c r="E12" s="4">
        <v>2180.5911870033501</v>
      </c>
      <c r="F12" s="33">
        <f t="shared" si="0"/>
        <v>2110.4312977036202</v>
      </c>
      <c r="G12" s="148">
        <f t="shared" si="10"/>
        <v>79.056553507791023</v>
      </c>
      <c r="H12" s="148"/>
      <c r="I12" s="1">
        <f t="shared" si="11"/>
        <v>0.63654940539537297</v>
      </c>
      <c r="J12" s="154">
        <f t="shared" si="12"/>
        <v>2025</v>
      </c>
      <c r="K12" s="156"/>
      <c r="L12" s="34">
        <v>2025</v>
      </c>
      <c r="M12" s="61">
        <f t="shared" si="1"/>
        <v>1.6916756891900411</v>
      </c>
      <c r="N12" s="61">
        <f t="shared" si="2"/>
        <v>0.99988809013673097</v>
      </c>
      <c r="O12" s="61">
        <f t="shared" si="3"/>
        <v>1.0498416412743852</v>
      </c>
      <c r="P12" s="61">
        <f t="shared" si="4"/>
        <v>1.0768351540757286</v>
      </c>
      <c r="Q12" s="158">
        <f t="shared" si="5"/>
        <v>1.0421882951622816</v>
      </c>
      <c r="R12" s="182">
        <f t="shared" si="13"/>
        <v>3.9040273337180749E-2</v>
      </c>
      <c r="S12" s="161">
        <f t="shared" si="14"/>
        <v>3.7459903856530739</v>
      </c>
      <c r="T12" s="161"/>
      <c r="U12" s="53">
        <f t="shared" si="6"/>
        <v>1.2070794763174368E-5</v>
      </c>
      <c r="V12" s="53">
        <f t="shared" si="7"/>
        <v>6.5240412597926278</v>
      </c>
      <c r="W12" s="150">
        <f t="shared" si="8"/>
        <v>4.1528745846958772</v>
      </c>
      <c r="X12" s="53">
        <f t="shared" si="9"/>
        <v>0.50721600302806324</v>
      </c>
      <c r="Y12" s="53"/>
      <c r="Z12" s="173" t="s">
        <v>466</v>
      </c>
      <c r="AA12" s="150">
        <f>AD12*W12/$D$2*4</f>
        <v>15.820474608365247</v>
      </c>
      <c r="AB12" s="1"/>
      <c r="AD12" s="33">
        <f>200/70</f>
        <v>2.8571428571428572</v>
      </c>
      <c r="AF12" s="173" t="s">
        <v>493</v>
      </c>
      <c r="AI12" s="148">
        <f t="shared" si="15"/>
        <v>2110.4312977036202</v>
      </c>
      <c r="AJ12" s="33">
        <f t="shared" si="16"/>
        <v>156.36614201043932</v>
      </c>
    </row>
    <row r="13" spans="1:42" s="33" customFormat="1" ht="15.75" customHeight="1" x14ac:dyDescent="0.2">
      <c r="A13" s="3" t="s">
        <v>35</v>
      </c>
      <c r="B13" s="157">
        <v>15505.77777348262</v>
      </c>
      <c r="C13" s="4">
        <v>11067.064641724</v>
      </c>
      <c r="D13" s="4">
        <v>10080.174884505701</v>
      </c>
      <c r="E13" s="4">
        <v>10131.2652064831</v>
      </c>
      <c r="F13" s="33">
        <f t="shared" si="0"/>
        <v>10426.168244237599</v>
      </c>
      <c r="G13" s="148">
        <f t="shared" si="10"/>
        <v>555.6201035628776</v>
      </c>
      <c r="H13" s="148"/>
      <c r="I13" s="1">
        <f t="shared" si="11"/>
        <v>0.71373811771315754</v>
      </c>
      <c r="J13" s="154">
        <f t="shared" si="12"/>
        <v>1180</v>
      </c>
      <c r="K13" s="156"/>
      <c r="L13" s="34">
        <v>1180</v>
      </c>
      <c r="M13" s="61">
        <f t="shared" si="1"/>
        <v>13.140489638544594</v>
      </c>
      <c r="N13" s="61">
        <f t="shared" si="2"/>
        <v>9.3788683404440683</v>
      </c>
      <c r="O13" s="61">
        <f t="shared" si="3"/>
        <v>8.542521088564154</v>
      </c>
      <c r="P13" s="61">
        <f t="shared" si="4"/>
        <v>8.5858179715958478</v>
      </c>
      <c r="Q13" s="158">
        <f t="shared" si="5"/>
        <v>8.8357358002013555</v>
      </c>
      <c r="R13" s="182">
        <f t="shared" si="13"/>
        <v>0.47086449454481155</v>
      </c>
      <c r="S13" s="161">
        <f t="shared" si="14"/>
        <v>5.3290920551753151</v>
      </c>
      <c r="T13" s="161"/>
      <c r="U13" s="53">
        <f t="shared" si="6"/>
        <v>5.4637055397125464E-5</v>
      </c>
      <c r="V13" s="53">
        <f t="shared" si="7"/>
        <v>29.530317656621463</v>
      </c>
      <c r="W13" s="150">
        <f t="shared" si="8"/>
        <v>21.076913339708625</v>
      </c>
      <c r="X13" s="53">
        <f t="shared" si="9"/>
        <v>2.2958545314927519</v>
      </c>
      <c r="Y13" s="53"/>
      <c r="AB13" s="1"/>
      <c r="AI13" s="148">
        <f t="shared" si="15"/>
        <v>10426.168244237599</v>
      </c>
      <c r="AJ13" s="33">
        <f t="shared" si="16"/>
        <v>31.651129376546031</v>
      </c>
      <c r="AK13" s="33">
        <v>500</v>
      </c>
      <c r="AL13" s="33">
        <f>AK13*10^-6</f>
        <v>5.0000000000000001E-4</v>
      </c>
      <c r="AM13" s="33">
        <f>F13*AL13</f>
        <v>5.2130841221187998</v>
      </c>
      <c r="AN13" s="33">
        <f>AM13/$AO$4</f>
        <v>173769.47073729333</v>
      </c>
      <c r="AO13" s="33">
        <f>AN13*10^-6</f>
        <v>0.17376947073729332</v>
      </c>
    </row>
    <row r="14" spans="1:42" s="33" customFormat="1" ht="15.75" customHeight="1" x14ac:dyDescent="0.2">
      <c r="A14" s="3" t="s">
        <v>36</v>
      </c>
      <c r="B14" s="157">
        <v>35113.571356675115</v>
      </c>
      <c r="C14" s="4">
        <v>25152.356902918102</v>
      </c>
      <c r="D14" s="4">
        <v>24904.623494352199</v>
      </c>
      <c r="E14" s="4">
        <v>29011.688831306001</v>
      </c>
      <c r="F14" s="33">
        <f t="shared" si="0"/>
        <v>26356.223076192098</v>
      </c>
      <c r="G14" s="148">
        <f t="shared" si="10"/>
        <v>2303.0342470026139</v>
      </c>
      <c r="H14" s="148"/>
      <c r="I14" s="1">
        <f t="shared" si="11"/>
        <v>0.82622438306295665</v>
      </c>
      <c r="J14" s="154">
        <f t="shared" si="12"/>
        <v>2455</v>
      </c>
      <c r="K14" s="156"/>
      <c r="L14" s="34">
        <v>2455</v>
      </c>
      <c r="M14" s="61">
        <f t="shared" si="1"/>
        <v>14.302880389684365</v>
      </c>
      <c r="N14" s="61">
        <f t="shared" si="2"/>
        <v>10.245359227257882</v>
      </c>
      <c r="O14" s="61">
        <f t="shared" si="3"/>
        <v>10.144449488534502</v>
      </c>
      <c r="P14" s="61">
        <f t="shared" si="4"/>
        <v>11.817388525990225</v>
      </c>
      <c r="Q14" s="158">
        <f t="shared" si="5"/>
        <v>10.735732413927535</v>
      </c>
      <c r="R14" s="182">
        <f t="shared" si="13"/>
        <v>0.93809948961409939</v>
      </c>
      <c r="S14" s="161">
        <f t="shared" si="14"/>
        <v>8.7381042433313354</v>
      </c>
      <c r="T14" s="161"/>
      <c r="U14" s="53">
        <f t="shared" si="6"/>
        <v>1.2372821095672638E-4</v>
      </c>
      <c r="V14" s="53">
        <f t="shared" si="7"/>
        <v>66.872809050207906</v>
      </c>
      <c r="W14" s="150">
        <f t="shared" si="8"/>
        <v>55.251945401194931</v>
      </c>
      <c r="X14" s="53">
        <f t="shared" si="9"/>
        <v>5.1990717972227376</v>
      </c>
      <c r="Y14" s="53"/>
      <c r="AB14" s="1"/>
      <c r="AI14" s="148">
        <f t="shared" si="15"/>
        <v>26356.223076192098</v>
      </c>
      <c r="AJ14" s="33">
        <f t="shared" si="16"/>
        <v>12.520762138263015</v>
      </c>
    </row>
    <row r="15" spans="1:42" s="148" customFormat="1" ht="15.75" customHeight="1" x14ac:dyDescent="0.2">
      <c r="A15" s="159" t="s">
        <v>37</v>
      </c>
      <c r="B15" s="160">
        <v>1748.0073206076652</v>
      </c>
      <c r="C15" s="162">
        <v>1125.09368045169</v>
      </c>
      <c r="D15" s="162">
        <v>1083.90823129607</v>
      </c>
      <c r="E15" s="162">
        <v>1125.7692888209799</v>
      </c>
      <c r="F15" s="148">
        <f t="shared" si="0"/>
        <v>1111.5904001895799</v>
      </c>
      <c r="G15" s="148">
        <f t="shared" si="10"/>
        <v>23.975841333596055</v>
      </c>
      <c r="I15" s="1">
        <f t="shared" si="11"/>
        <v>0.64403007673310275</v>
      </c>
      <c r="J15" s="154">
        <f t="shared" si="12"/>
        <v>1275</v>
      </c>
      <c r="K15" s="154"/>
      <c r="L15" s="151">
        <v>1275</v>
      </c>
      <c r="M15" s="149">
        <f t="shared" si="1"/>
        <v>1.3709861338099334</v>
      </c>
      <c r="N15" s="149">
        <f t="shared" si="2"/>
        <v>0.88242641604054106</v>
      </c>
      <c r="O15" s="149">
        <f t="shared" si="3"/>
        <v>0.85012410297730967</v>
      </c>
      <c r="P15" s="149">
        <f t="shared" si="4"/>
        <v>0.88295630495763133</v>
      </c>
      <c r="Q15" s="161">
        <f t="shared" si="5"/>
        <v>0.87183560799182735</v>
      </c>
      <c r="R15" s="182">
        <f t="shared" si="13"/>
        <v>1.8804581438114552E-2</v>
      </c>
      <c r="S15" s="161">
        <f t="shared" si="14"/>
        <v>2.1568953212898401</v>
      </c>
      <c r="T15" s="161"/>
      <c r="U15" s="150">
        <f t="shared" si="6"/>
        <v>6.1593796974152742E-6</v>
      </c>
      <c r="V15" s="150">
        <f t="shared" si="7"/>
        <v>3.329030777928554</v>
      </c>
      <c r="W15" s="150">
        <f t="shared" si="8"/>
        <v>2.1439959473561871</v>
      </c>
      <c r="X15" s="150">
        <f t="shared" si="9"/>
        <v>0.25881775082335962</v>
      </c>
      <c r="Y15" s="150"/>
      <c r="Z15" s="148" t="s">
        <v>466</v>
      </c>
      <c r="AA15" s="150">
        <f>AD15*W15/$D$2*4</f>
        <v>16.335207217951901</v>
      </c>
      <c r="AB15" s="1"/>
      <c r="AD15" s="148">
        <f>400/70</f>
        <v>5.7142857142857144</v>
      </c>
      <c r="AF15" s="148" t="s">
        <v>470</v>
      </c>
      <c r="AI15" s="148">
        <f t="shared" si="15"/>
        <v>1111.5904001895799</v>
      </c>
      <c r="AJ15" s="148">
        <f t="shared" si="16"/>
        <v>296.87194126876147</v>
      </c>
    </row>
    <row r="16" spans="1:42" s="148" customFormat="1" ht="15.75" customHeight="1" x14ac:dyDescent="0.2">
      <c r="A16" s="159" t="s">
        <v>38</v>
      </c>
      <c r="B16" s="160">
        <v>231.89001459989422</v>
      </c>
      <c r="C16" s="162">
        <v>234.362013711733</v>
      </c>
      <c r="D16" s="162">
        <v>231.937762401111</v>
      </c>
      <c r="E16" s="162">
        <v>240.41900780891601</v>
      </c>
      <c r="F16" s="148">
        <f t="shared" si="0"/>
        <v>235.57292797392003</v>
      </c>
      <c r="G16" s="148">
        <f t="shared" si="10"/>
        <v>4.3683653612798103</v>
      </c>
      <c r="I16" s="1">
        <f t="shared" si="11"/>
        <v>1.0367803384019696</v>
      </c>
      <c r="J16" s="154">
        <f t="shared" si="12"/>
        <v>469.99999999999994</v>
      </c>
      <c r="K16" s="154"/>
      <c r="L16" s="151">
        <v>470</v>
      </c>
      <c r="M16" s="149">
        <f t="shared" si="1"/>
        <v>0.49338300978700894</v>
      </c>
      <c r="N16" s="149">
        <f t="shared" si="2"/>
        <v>0.49864258236538939</v>
      </c>
      <c r="O16" s="149">
        <f t="shared" si="3"/>
        <v>0.4934846008534276</v>
      </c>
      <c r="P16" s="149">
        <f t="shared" si="4"/>
        <v>0.51152980384875746</v>
      </c>
      <c r="Q16" s="161">
        <f t="shared" si="5"/>
        <v>0.50121899568919159</v>
      </c>
      <c r="R16" s="182">
        <f t="shared" si="13"/>
        <v>9.294394385701725E-3</v>
      </c>
      <c r="S16" s="161">
        <f t="shared" si="14"/>
        <v>1.8543579684009472</v>
      </c>
      <c r="T16" s="161"/>
      <c r="U16" s="150">
        <f t="shared" si="6"/>
        <v>8.1710106766795243E-7</v>
      </c>
      <c r="V16" s="150">
        <f t="shared" si="7"/>
        <v>0.44162801070477636</v>
      </c>
      <c r="W16" s="150">
        <f t="shared" si="8"/>
        <v>0.45787123838628668</v>
      </c>
      <c r="X16" s="150">
        <f t="shared" si="9"/>
        <v>3.4334668573514131E-2</v>
      </c>
      <c r="Y16" s="150"/>
      <c r="AB16" s="1"/>
      <c r="AI16" s="148">
        <f t="shared" si="15"/>
        <v>235.57292797392003</v>
      </c>
      <c r="AJ16" s="148">
        <f t="shared" si="16"/>
        <v>1400.8400831038355</v>
      </c>
    </row>
    <row r="17" spans="1:41" s="33" customFormat="1" ht="15.75" customHeight="1" x14ac:dyDescent="0.2">
      <c r="A17" s="3" t="s">
        <v>3</v>
      </c>
      <c r="B17" s="4">
        <v>9299.0893897630631</v>
      </c>
      <c r="C17" s="24">
        <v>2802.8672342048399</v>
      </c>
      <c r="D17" s="24">
        <v>2881.2724304366602</v>
      </c>
      <c r="E17" s="24">
        <v>2924.6359492687402</v>
      </c>
      <c r="F17" s="33">
        <f t="shared" si="0"/>
        <v>2869.5918713034134</v>
      </c>
      <c r="G17" s="148">
        <f t="shared" si="10"/>
        <v>61.7189726771865</v>
      </c>
      <c r="H17" s="148"/>
      <c r="I17" s="1">
        <f t="shared" si="11"/>
        <v>0.31450777884642517</v>
      </c>
      <c r="J17" s="154">
        <f t="shared" si="12"/>
        <v>800</v>
      </c>
      <c r="K17" s="156"/>
      <c r="L17" s="34">
        <v>800</v>
      </c>
      <c r="M17" s="61">
        <f t="shared" si="1"/>
        <v>11.623861737203828</v>
      </c>
      <c r="N17" s="61">
        <f t="shared" si="2"/>
        <v>3.5035840427560498</v>
      </c>
      <c r="O17" s="61">
        <f t="shared" si="3"/>
        <v>3.6015905380458251</v>
      </c>
      <c r="P17" s="61">
        <f t="shared" si="4"/>
        <v>3.6557949365859255</v>
      </c>
      <c r="Q17" s="158">
        <f t="shared" si="5"/>
        <v>3.5869898391292669</v>
      </c>
      <c r="R17" s="182">
        <f t="shared" si="13"/>
        <v>7.7148715846483112E-2</v>
      </c>
      <c r="S17" s="161">
        <f t="shared" si="14"/>
        <v>2.1507927066002166</v>
      </c>
      <c r="T17" s="161"/>
      <c r="U17" s="53">
        <f t="shared" si="6"/>
        <v>3.2766809221282408E-5</v>
      </c>
      <c r="V17" s="53">
        <f t="shared" si="7"/>
        <v>17.709854198132547</v>
      </c>
      <c r="W17" s="150">
        <f t="shared" si="8"/>
        <v>5.569886907548705</v>
      </c>
      <c r="X17" s="53">
        <f t="shared" si="9"/>
        <v>1.3768646001592089</v>
      </c>
      <c r="Y17" s="53"/>
      <c r="AA17" s="150">
        <f>AD17*W17/$D$2*4</f>
        <v>21.218616790661734</v>
      </c>
      <c r="AB17" s="1"/>
      <c r="AD17" s="33">
        <f>200/70</f>
        <v>2.8571428571428572</v>
      </c>
      <c r="AI17" s="148">
        <f t="shared" si="15"/>
        <v>2869.5918713034134</v>
      </c>
      <c r="AJ17" s="33">
        <f t="shared" si="16"/>
        <v>114.99893183420151</v>
      </c>
    </row>
    <row r="18" spans="1:41" s="148" customFormat="1" ht="15.75" customHeight="1" x14ac:dyDescent="0.2">
      <c r="A18" s="159" t="s">
        <v>44</v>
      </c>
      <c r="B18" s="162">
        <v>1330.3335854286881</v>
      </c>
      <c r="C18" s="155">
        <v>636.95074145692399</v>
      </c>
      <c r="D18" s="155">
        <v>647.62650010870004</v>
      </c>
      <c r="E18" s="155">
        <v>666.70487293358599</v>
      </c>
      <c r="F18" s="148">
        <f t="shared" si="0"/>
        <v>650.42737149973664</v>
      </c>
      <c r="G18" s="148">
        <f t="shared" si="10"/>
        <v>15.073511382370985</v>
      </c>
      <c r="I18" s="1">
        <f t="shared" si="11"/>
        <v>0.50115616130877905</v>
      </c>
      <c r="J18" s="154">
        <f t="shared" si="12"/>
        <v>800.00000000000011</v>
      </c>
      <c r="K18" s="154"/>
      <c r="L18" s="151">
        <v>800</v>
      </c>
      <c r="M18" s="149">
        <f t="shared" si="1"/>
        <v>1.6629169817858602</v>
      </c>
      <c r="N18" s="149">
        <f t="shared" si="2"/>
        <v>0.79618842682115498</v>
      </c>
      <c r="O18" s="149">
        <f t="shared" si="3"/>
        <v>0.80953312513587505</v>
      </c>
      <c r="P18" s="149">
        <f t="shared" si="4"/>
        <v>0.83338109116698256</v>
      </c>
      <c r="Q18" s="161">
        <f t="shared" si="5"/>
        <v>0.81303421437467072</v>
      </c>
      <c r="R18" s="182">
        <f t="shared" si="13"/>
        <v>1.8841889227963732E-2</v>
      </c>
      <c r="S18" s="161">
        <f t="shared" si="14"/>
        <v>2.3174780218143218</v>
      </c>
      <c r="T18" s="161"/>
      <c r="U18" s="150">
        <f t="shared" si="6"/>
        <v>4.687640366420556E-6</v>
      </c>
      <c r="V18" s="150">
        <f t="shared" si="7"/>
        <v>2.5335828967035319</v>
      </c>
      <c r="W18" s="150">
        <f t="shared" si="8"/>
        <v>1.269720678869519</v>
      </c>
      <c r="X18" s="150">
        <f t="shared" si="9"/>
        <v>0.1969751169610284</v>
      </c>
      <c r="Y18" s="150">
        <f>4*W18/$D$2*4</f>
        <v>6.7718436206374344</v>
      </c>
      <c r="Z18" s="148" t="s">
        <v>466</v>
      </c>
      <c r="AA18" s="150">
        <f>AD18*W18/$D$2*4</f>
        <v>13.543687241274869</v>
      </c>
      <c r="AB18" s="1"/>
      <c r="AC18" s="148">
        <f>Y18/W18</f>
        <v>5.333333333333333</v>
      </c>
      <c r="AD18" s="184">
        <f>200/25</f>
        <v>8</v>
      </c>
      <c r="AF18" s="148" t="s">
        <v>467</v>
      </c>
      <c r="AI18" s="148">
        <f t="shared" si="15"/>
        <v>650.42737149973664</v>
      </c>
      <c r="AJ18" s="148">
        <f t="shared" si="16"/>
        <v>507.3587220646873</v>
      </c>
    </row>
    <row r="19" spans="1:41" s="148" customFormat="1" ht="15.75" customHeight="1" x14ac:dyDescent="0.2">
      <c r="A19" s="159" t="s">
        <v>45</v>
      </c>
      <c r="B19" s="162">
        <v>486.9744073090481</v>
      </c>
      <c r="C19" s="155">
        <v>232.009398749453</v>
      </c>
      <c r="D19" s="155">
        <v>225.47816073694901</v>
      </c>
      <c r="E19" s="155">
        <v>226.981529187825</v>
      </c>
      <c r="F19" s="148">
        <f t="shared" si="0"/>
        <v>228.156362891409</v>
      </c>
      <c r="G19" s="148">
        <f t="shared" si="10"/>
        <v>3.4204448785650592</v>
      </c>
      <c r="I19" s="1">
        <f t="shared" si="11"/>
        <v>0.47643037348000322</v>
      </c>
      <c r="J19" s="154">
        <f t="shared" si="12"/>
        <v>1590</v>
      </c>
      <c r="K19" s="154"/>
      <c r="L19" s="151">
        <v>1590</v>
      </c>
      <c r="M19" s="149">
        <f t="shared" si="1"/>
        <v>0.3062732121440554</v>
      </c>
      <c r="N19" s="149">
        <f t="shared" si="2"/>
        <v>0.14591786084871258</v>
      </c>
      <c r="O19" s="149">
        <f t="shared" si="3"/>
        <v>0.14181016398550253</v>
      </c>
      <c r="P19" s="149">
        <f t="shared" si="4"/>
        <v>0.14275567873448114</v>
      </c>
      <c r="Q19" s="161">
        <f t="shared" si="5"/>
        <v>0.14349456785623207</v>
      </c>
      <c r="R19" s="182">
        <f t="shared" si="13"/>
        <v>2.1512231940660747E-3</v>
      </c>
      <c r="S19" s="161">
        <f t="shared" si="14"/>
        <v>1.4991669902246028</v>
      </c>
      <c r="T19" s="161"/>
      <c r="U19" s="150">
        <f t="shared" si="6"/>
        <v>1.7159311875750472E-6</v>
      </c>
      <c r="V19" s="150">
        <f t="shared" si="7"/>
        <v>0.92742906215734278</v>
      </c>
      <c r="W19" s="150">
        <f t="shared" si="8"/>
        <v>0.44185537445983192</v>
      </c>
      <c r="X19" s="150">
        <f t="shared" si="9"/>
        <v>7.2103600095022244E-2</v>
      </c>
      <c r="Y19" s="150">
        <f>4*W19/$D$2*4</f>
        <v>2.3565619971191034</v>
      </c>
      <c r="Z19" s="148" t="s">
        <v>463</v>
      </c>
      <c r="AB19" s="150">
        <f>AE19*W19/$D$2*4</f>
        <v>3.9276033285318395</v>
      </c>
      <c r="AC19" s="148">
        <f>Y19/W19</f>
        <v>5.333333333333333</v>
      </c>
      <c r="AE19" s="185">
        <f>200/30</f>
        <v>6.666666666666667</v>
      </c>
      <c r="AF19" s="148" t="s">
        <v>464</v>
      </c>
      <c r="AG19" s="148" t="s">
        <v>471</v>
      </c>
      <c r="AI19" s="148">
        <f t="shared" si="15"/>
        <v>228.156362891409</v>
      </c>
      <c r="AJ19" s="148">
        <f t="shared" si="16"/>
        <v>1446.3764929363967</v>
      </c>
    </row>
    <row r="20" spans="1:41" s="148" customFormat="1" ht="15.75" customHeight="1" x14ac:dyDescent="0.2">
      <c r="A20" s="159" t="s">
        <v>46</v>
      </c>
      <c r="B20" s="162">
        <v>38.00993052869331</v>
      </c>
      <c r="C20" s="155">
        <v>38.381006686361701</v>
      </c>
      <c r="D20" s="155">
        <v>43.085084163222902</v>
      </c>
      <c r="E20" s="155">
        <v>39.341032883838302</v>
      </c>
      <c r="F20" s="160">
        <f>AVERAGE(C20:E20)</f>
        <v>40.269041244474302</v>
      </c>
      <c r="G20" s="148">
        <f t="shared" si="10"/>
        <v>2.48555544398751</v>
      </c>
      <c r="I20" s="1">
        <f t="shared" si="11"/>
        <v>1.1335217813854832</v>
      </c>
      <c r="J20" s="154">
        <f t="shared" si="12"/>
        <v>980</v>
      </c>
      <c r="K20" s="154"/>
      <c r="L20" s="151">
        <v>980</v>
      </c>
      <c r="M20" s="149">
        <f t="shared" si="1"/>
        <v>3.8785643396625824E-2</v>
      </c>
      <c r="N20" s="149">
        <f t="shared" si="2"/>
        <v>3.9164292537103775E-2</v>
      </c>
      <c r="O20" s="149">
        <f t="shared" si="3"/>
        <v>4.3964371595125409E-2</v>
      </c>
      <c r="P20" s="149">
        <f t="shared" si="4"/>
        <v>4.0143911105957455E-2</v>
      </c>
      <c r="Q20" s="161">
        <f t="shared" si="5"/>
        <v>4.109085841272888E-2</v>
      </c>
      <c r="R20" s="182">
        <f t="shared" si="13"/>
        <v>2.5362810652933775E-3</v>
      </c>
      <c r="S20" s="161">
        <f t="shared" si="14"/>
        <v>6.1723730368886711</v>
      </c>
      <c r="T20" s="161"/>
      <c r="U20" s="150">
        <f t="shared" si="6"/>
        <v>1.3393398965698356E-7</v>
      </c>
      <c r="V20" s="150">
        <f t="shared" si="7"/>
        <v>7.2388843630790942E-2</v>
      </c>
      <c r="W20" s="150">
        <f t="shared" si="8"/>
        <v>8.205433098480934E-2</v>
      </c>
      <c r="X20" s="150">
        <f t="shared" si="9"/>
        <v>5.6279196387854146E-3</v>
      </c>
      <c r="Y20" s="150"/>
      <c r="AB20" s="1"/>
      <c r="AI20" s="148">
        <f t="shared" si="15"/>
        <v>40.269041244474302</v>
      </c>
      <c r="AJ20" s="148">
        <f t="shared" si="16"/>
        <v>8194.8809756001447</v>
      </c>
    </row>
    <row r="21" spans="1:41" s="33" customFormat="1" ht="15.75" customHeight="1" x14ac:dyDescent="0.2">
      <c r="A21" s="3" t="s">
        <v>47</v>
      </c>
      <c r="B21" s="4">
        <v>42959.189187502481</v>
      </c>
      <c r="C21" s="24">
        <v>7279.3378903247503</v>
      </c>
      <c r="D21" s="24">
        <v>7065.9393617649403</v>
      </c>
      <c r="E21" s="24">
        <v>7069.1765507185601</v>
      </c>
      <c r="F21" s="33">
        <f t="shared" si="0"/>
        <v>7138.1512676027496</v>
      </c>
      <c r="G21" s="148">
        <f t="shared" si="10"/>
        <v>122.28191474953955</v>
      </c>
      <c r="H21" s="148"/>
      <c r="I21" s="1">
        <f t="shared" si="11"/>
        <v>0.16944774861911097</v>
      </c>
      <c r="J21" s="154">
        <f t="shared" si="12"/>
        <v>800.00000000000011</v>
      </c>
      <c r="K21" s="156"/>
      <c r="L21" s="34">
        <v>800</v>
      </c>
      <c r="M21" s="61">
        <f t="shared" si="1"/>
        <v>53.698986484378096</v>
      </c>
      <c r="N21" s="61">
        <f t="shared" si="2"/>
        <v>9.0991723629059376</v>
      </c>
      <c r="O21" s="61">
        <f t="shared" si="3"/>
        <v>8.832424202206175</v>
      </c>
      <c r="P21" s="61">
        <f t="shared" si="4"/>
        <v>8.8364706883981992</v>
      </c>
      <c r="Q21" s="158">
        <f t="shared" si="5"/>
        <v>8.9226890845034355</v>
      </c>
      <c r="R21" s="182">
        <f t="shared" si="13"/>
        <v>0.15285239343692444</v>
      </c>
      <c r="S21" s="161">
        <f t="shared" si="14"/>
        <v>1.7130754191849211</v>
      </c>
      <c r="T21" s="161"/>
      <c r="U21" s="53">
        <f t="shared" si="6"/>
        <v>1.5137348372599503E-4</v>
      </c>
      <c r="V21" s="53">
        <f t="shared" si="7"/>
        <v>81.814567544451364</v>
      </c>
      <c r="W21" s="150">
        <f t="shared" si="8"/>
        <v>13.86329427465347</v>
      </c>
      <c r="X21" s="53">
        <f t="shared" si="9"/>
        <v>6.3607289235146833</v>
      </c>
      <c r="Y21" s="53"/>
      <c r="AB21" s="1"/>
      <c r="AI21" s="148">
        <f t="shared" si="15"/>
        <v>7138.1512676027496</v>
      </c>
      <c r="AJ21" s="33">
        <f>330000/AI21</f>
        <v>46.230457667343046</v>
      </c>
      <c r="AK21" s="33">
        <v>500</v>
      </c>
      <c r="AL21" s="33">
        <f>AK21*10^-6</f>
        <v>5.0000000000000001E-4</v>
      </c>
      <c r="AM21" s="33">
        <f>F21*AL21</f>
        <v>3.5690756338013747</v>
      </c>
      <c r="AN21" s="33">
        <f>AM21/$AO$4</f>
        <v>118969.18779337917</v>
      </c>
      <c r="AO21" s="33">
        <f>AN21*10^-6</f>
        <v>0.11896918779337916</v>
      </c>
    </row>
    <row r="22" spans="1:41" s="33" customFormat="1" ht="15.75" customHeight="1" x14ac:dyDescent="0.2">
      <c r="A22" s="3" t="s">
        <v>48</v>
      </c>
      <c r="B22" s="4">
        <v>25875.14655829328</v>
      </c>
      <c r="C22" s="24">
        <v>5604.2088859346004</v>
      </c>
      <c r="D22" s="24">
        <v>5699.9060369787003</v>
      </c>
      <c r="E22" s="24">
        <v>5513.13989619325</v>
      </c>
      <c r="F22" s="33">
        <f t="shared" si="0"/>
        <v>5605.7516063688499</v>
      </c>
      <c r="G22" s="148">
        <f t="shared" si="10"/>
        <v>93.39262725572263</v>
      </c>
      <c r="H22" s="148"/>
      <c r="I22" s="1">
        <f t="shared" si="11"/>
        <v>0.22028497593772334</v>
      </c>
      <c r="J22" s="154">
        <f xml:space="preserve"> F22/Q22</f>
        <v>550</v>
      </c>
      <c r="K22" s="156"/>
      <c r="L22" s="34">
        <v>550</v>
      </c>
      <c r="M22" s="61">
        <f t="shared" si="1"/>
        <v>47.045721015078691</v>
      </c>
      <c r="N22" s="61">
        <f>(C22*$B$3*$B$1)/($L22*10^(-3))</f>
        <v>10.189470701699273</v>
      </c>
      <c r="O22" s="61">
        <f t="shared" si="3"/>
        <v>10.363465521779455</v>
      </c>
      <c r="P22" s="61">
        <f>(E22*$B$3*$B$1)/($L22*10^(-3))</f>
        <v>10.023890720351362</v>
      </c>
      <c r="Q22" s="158">
        <f>(F22*$B$3*$B$1)/($L22*10^(-3))</f>
        <v>10.192275647943363</v>
      </c>
      <c r="R22" s="182">
        <f t="shared" si="13"/>
        <v>0.16980477682858658</v>
      </c>
      <c r="S22" s="161">
        <f t="shared" si="14"/>
        <v>1.6660143690565357</v>
      </c>
      <c r="T22" s="161"/>
      <c r="U22" s="53">
        <f t="shared" si="6"/>
        <v>9.1175162998397718E-5</v>
      </c>
      <c r="V22" s="53">
        <f t="shared" si="7"/>
        <v>49.278488860118493</v>
      </c>
      <c r="W22" s="150">
        <f t="shared" si="8"/>
        <v>10.85531073279857</v>
      </c>
      <c r="X22" s="53">
        <f t="shared" si="9"/>
        <v>3.8311894667089712</v>
      </c>
      <c r="Y22" s="53"/>
      <c r="AB22" s="1"/>
      <c r="AI22" s="148">
        <f t="shared" si="15"/>
        <v>5605.7516063688499</v>
      </c>
      <c r="AJ22" s="33">
        <f t="shared" si="16"/>
        <v>58.868109608188462</v>
      </c>
    </row>
    <row r="23" spans="1:41" s="148" customFormat="1" ht="15.75" customHeight="1" x14ac:dyDescent="0.2">
      <c r="A23" s="159" t="s">
        <v>49</v>
      </c>
      <c r="B23" s="162">
        <v>12.482422240025931</v>
      </c>
      <c r="C23" s="155">
        <v>28.603512115867499</v>
      </c>
      <c r="D23" s="155">
        <v>28.516156885266199</v>
      </c>
      <c r="E23" s="155">
        <v>29.0814088593173</v>
      </c>
      <c r="F23" s="148">
        <f t="shared" si="0"/>
        <v>28.733692620150332</v>
      </c>
      <c r="G23" s="148">
        <f t="shared" si="10"/>
        <v>0.30428222313120146</v>
      </c>
      <c r="I23" s="1">
        <f t="shared" si="11"/>
        <v>2.3297889063602839</v>
      </c>
      <c r="J23" s="154">
        <f t="shared" si="12"/>
        <v>1310.0000000000002</v>
      </c>
      <c r="K23" s="154"/>
      <c r="L23" s="151">
        <v>1310</v>
      </c>
      <c r="M23" s="149">
        <f t="shared" si="1"/>
        <v>9.5285665954396425E-3</v>
      </c>
      <c r="N23" s="149">
        <f t="shared" si="2"/>
        <v>2.1834742073181299E-2</v>
      </c>
      <c r="O23" s="149">
        <f t="shared" si="3"/>
        <v>2.17680586910429E-2</v>
      </c>
      <c r="P23" s="149">
        <f t="shared" si="4"/>
        <v>2.2199548747570456E-2</v>
      </c>
      <c r="Q23" s="161">
        <f t="shared" si="5"/>
        <v>2.1934116503931549E-2</v>
      </c>
      <c r="R23" s="182">
        <f t="shared" si="13"/>
        <v>2.3227650620702401E-4</v>
      </c>
      <c r="S23" s="161">
        <f t="shared" si="14"/>
        <v>1.0589736138466754</v>
      </c>
      <c r="T23" s="161"/>
      <c r="U23" s="150">
        <f t="shared" si="6"/>
        <v>4.3983784972395421E-8</v>
      </c>
      <c r="V23" s="150">
        <f t="shared" si="7"/>
        <v>2.3772422077557732E-2</v>
      </c>
      <c r="W23" s="150">
        <f t="shared" si="8"/>
        <v>5.5384725233608295E-2</v>
      </c>
      <c r="X23" s="150">
        <f t="shared" si="9"/>
        <v>1.8482030429185527E-3</v>
      </c>
      <c r="Y23" s="150">
        <f>4*W23/$D$2*4</f>
        <v>0.29538520124591089</v>
      </c>
      <c r="Z23" s="148" t="s">
        <v>466</v>
      </c>
      <c r="AA23" s="33"/>
      <c r="AB23" s="1"/>
      <c r="AC23" s="148">
        <f t="shared" ref="AC23:AC24" si="17">Y23/W23</f>
        <v>5.333333333333333</v>
      </c>
      <c r="AD23" s="33"/>
      <c r="AF23" s="148" t="s">
        <v>468</v>
      </c>
      <c r="AI23" s="148">
        <f t="shared" si="15"/>
        <v>28.733692620150332</v>
      </c>
      <c r="AJ23" s="148">
        <f t="shared" si="16"/>
        <v>11484.775185789311</v>
      </c>
    </row>
    <row r="24" spans="1:41" s="148" customFormat="1" ht="15.75" customHeight="1" x14ac:dyDescent="0.2">
      <c r="A24" s="159" t="s">
        <v>50</v>
      </c>
      <c r="B24" s="162">
        <v>387.49361682697662</v>
      </c>
      <c r="C24" s="155">
        <v>170.32957974040301</v>
      </c>
      <c r="D24" s="155">
        <v>176.68073547645599</v>
      </c>
      <c r="E24" s="155">
        <v>176.94139120617999</v>
      </c>
      <c r="F24" s="148">
        <f t="shared" si="0"/>
        <v>174.65056880767966</v>
      </c>
      <c r="G24" s="148">
        <f t="shared" si="10"/>
        <v>3.7443551169731188</v>
      </c>
      <c r="I24" s="1">
        <f t="shared" si="11"/>
        <v>0.45663046698698972</v>
      </c>
      <c r="J24" s="154">
        <f t="shared" si="12"/>
        <v>925</v>
      </c>
      <c r="K24" s="154"/>
      <c r="L24" s="151">
        <v>925</v>
      </c>
      <c r="M24" s="149">
        <f t="shared" si="1"/>
        <v>0.41891201819132606</v>
      </c>
      <c r="N24" s="149">
        <f t="shared" si="2"/>
        <v>0.18414008620584107</v>
      </c>
      <c r="O24" s="149">
        <f t="shared" si="3"/>
        <v>0.19100620051508754</v>
      </c>
      <c r="P24" s="149">
        <f t="shared" si="4"/>
        <v>0.19128799049316755</v>
      </c>
      <c r="Q24" s="161">
        <f t="shared" si="5"/>
        <v>0.18881142573803206</v>
      </c>
      <c r="R24" s="182">
        <f t="shared" si="13"/>
        <v>4.0479514778087771E-3</v>
      </c>
      <c r="S24" s="161">
        <f t="shared" si="14"/>
        <v>2.1439123516948282</v>
      </c>
      <c r="T24" s="161"/>
      <c r="U24" s="150">
        <f t="shared" si="6"/>
        <v>1.365394920389916E-6</v>
      </c>
      <c r="V24" s="150">
        <f t="shared" si="7"/>
        <v>0.73797069466472232</v>
      </c>
      <c r="W24" s="150">
        <f t="shared" si="8"/>
        <v>0.33697990292746538</v>
      </c>
      <c r="X24" s="150">
        <f t="shared" si="9"/>
        <v>5.7374031094276301E-2</v>
      </c>
      <c r="Y24" s="150">
        <f>4*W24/$D$2*4</f>
        <v>1.797226148946482</v>
      </c>
      <c r="Z24" s="148" t="s">
        <v>463</v>
      </c>
      <c r="AB24" s="150">
        <f>AE24*W24/$D$2*4</f>
        <v>2.9953769149108034</v>
      </c>
      <c r="AC24" s="148">
        <f t="shared" si="17"/>
        <v>5.333333333333333</v>
      </c>
      <c r="AE24" s="185">
        <f>200/30</f>
        <v>6.666666666666667</v>
      </c>
      <c r="AF24" s="148" t="s">
        <v>465</v>
      </c>
      <c r="AG24" s="148" t="s">
        <v>471</v>
      </c>
      <c r="AI24" s="148">
        <f t="shared" si="15"/>
        <v>174.65056880767966</v>
      </c>
      <c r="AJ24" s="148">
        <f t="shared" si="16"/>
        <v>1889.4871184953699</v>
      </c>
    </row>
    <row r="25" spans="1:41" s="148" customFormat="1" ht="15.75" customHeight="1" x14ac:dyDescent="0.2">
      <c r="A25" s="159" t="s">
        <v>51</v>
      </c>
      <c r="B25" s="162">
        <v>531.31407724620431</v>
      </c>
      <c r="C25" s="155">
        <v>205.740113241763</v>
      </c>
      <c r="D25" s="155">
        <v>217.75681158998901</v>
      </c>
      <c r="E25" s="155">
        <v>226.56500361143301</v>
      </c>
      <c r="F25" s="148">
        <f t="shared" si="0"/>
        <v>216.68730948106167</v>
      </c>
      <c r="G25" s="148">
        <f t="shared" si="10"/>
        <v>10.45355876235188</v>
      </c>
      <c r="I25" s="1">
        <f t="shared" si="11"/>
        <v>0.42642386737749771</v>
      </c>
      <c r="J25" s="154">
        <f t="shared" si="12"/>
        <v>864.99999999999989</v>
      </c>
      <c r="K25" s="154"/>
      <c r="L25" s="151">
        <v>865</v>
      </c>
      <c r="M25" s="149">
        <f t="shared" si="1"/>
        <v>0.6142359274522593</v>
      </c>
      <c r="N25" s="149">
        <f t="shared" si="2"/>
        <v>0.23784984189799191</v>
      </c>
      <c r="O25" s="149">
        <f t="shared" si="3"/>
        <v>0.2517419787167503</v>
      </c>
      <c r="P25" s="149">
        <f t="shared" si="4"/>
        <v>0.26192485966639656</v>
      </c>
      <c r="Q25" s="161">
        <f t="shared" si="5"/>
        <v>0.25050556009371294</v>
      </c>
      <c r="R25" s="182">
        <f t="shared" si="13"/>
        <v>1.2085039031620672E-2</v>
      </c>
      <c r="S25" s="161">
        <f t="shared" si="14"/>
        <v>4.8242597997025367</v>
      </c>
      <c r="T25" s="161"/>
      <c r="U25" s="150">
        <f t="shared" si="6"/>
        <v>1.8721690131157744E-6</v>
      </c>
      <c r="V25" s="150">
        <f t="shared" si="7"/>
        <v>1.0118727164623336</v>
      </c>
      <c r="W25" s="150">
        <f t="shared" si="8"/>
        <v>0.43148667704764249</v>
      </c>
      <c r="X25" s="150">
        <f t="shared" si="9"/>
        <v>7.8668729148026154E-2</v>
      </c>
      <c r="Y25" s="150"/>
      <c r="AB25" s="1"/>
      <c r="AI25" s="148">
        <f t="shared" si="15"/>
        <v>216.68730948106167</v>
      </c>
      <c r="AJ25" s="148">
        <f t="shared" si="16"/>
        <v>1522.9318264660155</v>
      </c>
    </row>
    <row r="26" spans="1:41" s="148" customFormat="1" ht="15.75" customHeight="1" x14ac:dyDescent="0.2">
      <c r="A26" s="159" t="s">
        <v>52</v>
      </c>
      <c r="B26" s="162">
        <v>443.16845064127614</v>
      </c>
      <c r="C26" s="155">
        <v>167.62621781488099</v>
      </c>
      <c r="D26" s="155">
        <v>175.325701240348</v>
      </c>
      <c r="E26" s="155">
        <v>178.08983997460001</v>
      </c>
      <c r="F26" s="148">
        <f t="shared" si="0"/>
        <v>173.68058634327633</v>
      </c>
      <c r="G26" s="148">
        <f t="shared" si="10"/>
        <v>5.4223287841817642</v>
      </c>
      <c r="I26" s="1">
        <f t="shared" si="11"/>
        <v>0.4018558625211236</v>
      </c>
      <c r="J26" s="154">
        <f t="shared" si="12"/>
        <v>945.00000000000011</v>
      </c>
      <c r="K26" s="154"/>
      <c r="L26" s="151">
        <v>945</v>
      </c>
      <c r="M26" s="149">
        <f t="shared" si="1"/>
        <v>0.46896132342992181</v>
      </c>
      <c r="N26" s="149">
        <f t="shared" si="2"/>
        <v>0.17738224107394812</v>
      </c>
      <c r="O26" s="149">
        <f t="shared" si="3"/>
        <v>0.18552984258237881</v>
      </c>
      <c r="P26" s="149">
        <f t="shared" si="4"/>
        <v>0.18845485711597884</v>
      </c>
      <c r="Q26" s="161">
        <f t="shared" si="5"/>
        <v>0.18378898025743526</v>
      </c>
      <c r="R26" s="182">
        <f t="shared" si="13"/>
        <v>5.7379140573352002E-3</v>
      </c>
      <c r="S26" s="161">
        <f t="shared" si="14"/>
        <v>3.12201202123111</v>
      </c>
      <c r="T26" s="161"/>
      <c r="U26" s="150">
        <f t="shared" si="6"/>
        <v>1.5615739849796195E-6</v>
      </c>
      <c r="V26" s="150">
        <f t="shared" si="7"/>
        <v>0.84400184976276205</v>
      </c>
      <c r="W26" s="150">
        <f t="shared" si="8"/>
        <v>0.3391670913058385</v>
      </c>
      <c r="X26" s="150">
        <f t="shared" si="9"/>
        <v>6.5617495006242102E-2</v>
      </c>
      <c r="Y26" s="150"/>
      <c r="Z26" s="148" t="s">
        <v>463</v>
      </c>
      <c r="AA26" s="150">
        <f>AD26*W26/$D$2*4</f>
        <v>9.9489013449712633</v>
      </c>
      <c r="AB26" s="1"/>
      <c r="AD26" s="184">
        <f>550/25</f>
        <v>22</v>
      </c>
      <c r="AF26" s="148" t="s">
        <v>465</v>
      </c>
      <c r="AI26" s="148">
        <f t="shared" si="15"/>
        <v>173.68058634327633</v>
      </c>
      <c r="AJ26" s="148">
        <f t="shared" si="16"/>
        <v>1900.0396471932756</v>
      </c>
    </row>
    <row r="27" spans="1:41" s="33" customFormat="1" ht="15.75" customHeight="1" x14ac:dyDescent="0.2">
      <c r="A27" s="3" t="s">
        <v>53</v>
      </c>
      <c r="B27" s="4">
        <v>153947.68887681124</v>
      </c>
      <c r="C27" s="24">
        <v>13989.1725889554</v>
      </c>
      <c r="D27" s="24">
        <v>15250.1931105731</v>
      </c>
      <c r="E27" s="24">
        <v>14475.1422544818</v>
      </c>
      <c r="F27" s="33">
        <f t="shared" si="0"/>
        <v>14571.502651336765</v>
      </c>
      <c r="G27" s="148">
        <f t="shared" si="10"/>
        <v>636.00879203575414</v>
      </c>
      <c r="H27" s="148"/>
      <c r="I27" s="1">
        <f t="shared" si="11"/>
        <v>9.9060877248870471E-2</v>
      </c>
      <c r="J27" s="154">
        <f t="shared" si="12"/>
        <v>545</v>
      </c>
      <c r="K27" s="156"/>
      <c r="L27" s="34">
        <v>545</v>
      </c>
      <c r="M27" s="61">
        <f t="shared" si="1"/>
        <v>282.47282362717658</v>
      </c>
      <c r="N27" s="61">
        <f t="shared" si="2"/>
        <v>25.668206585239265</v>
      </c>
      <c r="O27" s="61">
        <f t="shared" si="3"/>
        <v>27.982005707473576</v>
      </c>
      <c r="P27" s="61">
        <f t="shared" si="4"/>
        <v>26.559894044920732</v>
      </c>
      <c r="Q27" s="158">
        <f t="shared" si="5"/>
        <v>26.736702112544521</v>
      </c>
      <c r="R27" s="182">
        <f t="shared" si="13"/>
        <v>1.1669886092399158</v>
      </c>
      <c r="S27" s="161">
        <f t="shared" si="14"/>
        <v>4.3647440298643998</v>
      </c>
      <c r="T27" s="161"/>
      <c r="U27" s="53">
        <f t="shared" si="6"/>
        <v>5.4245898066502434E-4</v>
      </c>
      <c r="V27" s="53">
        <f t="shared" si="7"/>
        <v>293.1890435583033</v>
      </c>
      <c r="W27" s="150">
        <f t="shared" si="8"/>
        <v>29.043563854642819</v>
      </c>
      <c r="X27" s="53">
        <f t="shared" si="9"/>
        <v>22.794180613442386</v>
      </c>
      <c r="Y27" s="53"/>
      <c r="AB27" s="1"/>
      <c r="AI27" s="148">
        <f t="shared" si="15"/>
        <v>14571.502651336765</v>
      </c>
      <c r="AJ27" s="33">
        <f t="shared" si="16"/>
        <v>22.646943688386617</v>
      </c>
    </row>
    <row r="28" spans="1:41" s="33" customFormat="1" ht="15.75" customHeight="1" x14ac:dyDescent="0.2">
      <c r="A28" s="3" t="s">
        <v>54</v>
      </c>
      <c r="B28" s="4">
        <v>53254.467063321506</v>
      </c>
      <c r="C28" s="24">
        <v>9943.4856891467498</v>
      </c>
      <c r="D28" s="24">
        <v>9748.9848493616901</v>
      </c>
      <c r="E28" s="24">
        <v>9554.6318065843097</v>
      </c>
      <c r="F28" s="33">
        <f t="shared" si="0"/>
        <v>9749.0341150309159</v>
      </c>
      <c r="G28" s="148">
        <f t="shared" si="10"/>
        <v>194.42694596248896</v>
      </c>
      <c r="H28" s="148"/>
      <c r="I28" s="1">
        <f t="shared" si="11"/>
        <v>0.18671646225139352</v>
      </c>
      <c r="J28" s="154">
        <f t="shared" si="12"/>
        <v>800</v>
      </c>
      <c r="K28" s="156"/>
      <c r="L28" s="34">
        <v>800</v>
      </c>
      <c r="M28" s="61">
        <f t="shared" si="1"/>
        <v>66.568083829151874</v>
      </c>
      <c r="N28" s="61">
        <f t="shared" si="2"/>
        <v>12.429357111433436</v>
      </c>
      <c r="O28" s="61">
        <f t="shared" si="3"/>
        <v>12.186231061702113</v>
      </c>
      <c r="P28" s="61">
        <f t="shared" si="4"/>
        <v>11.943289758230385</v>
      </c>
      <c r="Q28" s="158">
        <f t="shared" si="5"/>
        <v>12.186292643788645</v>
      </c>
      <c r="R28" s="182">
        <f t="shared" si="13"/>
        <v>0.24303368245311119</v>
      </c>
      <c r="S28" s="161">
        <f t="shared" si="14"/>
        <v>1.9943200902612943</v>
      </c>
      <c r="T28" s="161"/>
      <c r="U28" s="53">
        <f t="shared" si="6"/>
        <v>1.876505203150203E-4</v>
      </c>
      <c r="V28" s="53">
        <f t="shared" si="7"/>
        <v>101.42163469564265</v>
      </c>
      <c r="W28" s="150">
        <f t="shared" si="8"/>
        <v>18.937088826123585</v>
      </c>
      <c r="X28" s="53">
        <f t="shared" si="9"/>
        <v>7.8850936286891855</v>
      </c>
      <c r="Y28" s="53"/>
      <c r="AB28" s="1"/>
      <c r="AI28" s="148">
        <f t="shared" si="15"/>
        <v>9749.0341150309159</v>
      </c>
      <c r="AJ28" s="33">
        <f t="shared" si="16"/>
        <v>33.84950715181219</v>
      </c>
    </row>
    <row r="29" spans="1:41" s="33" customFormat="1" x14ac:dyDescent="0.2">
      <c r="A29" s="3" t="s">
        <v>55</v>
      </c>
      <c r="B29" s="4">
        <v>53097.542758440897</v>
      </c>
      <c r="C29" s="24">
        <v>10342.0359389809</v>
      </c>
      <c r="D29" s="24">
        <v>10046.8922759534</v>
      </c>
      <c r="E29" s="24">
        <v>10172.1371214423</v>
      </c>
      <c r="F29" s="33">
        <f t="shared" si="0"/>
        <v>10187.021778792199</v>
      </c>
      <c r="G29" s="148">
        <f t="shared" si="10"/>
        <v>148.13375788334204</v>
      </c>
      <c r="H29" s="148"/>
      <c r="I29" s="1">
        <f t="shared" si="11"/>
        <v>0.19477428524386528</v>
      </c>
      <c r="J29" s="154">
        <f t="shared" si="12"/>
        <v>810</v>
      </c>
      <c r="K29" s="156"/>
      <c r="L29" s="34">
        <v>810</v>
      </c>
      <c r="M29" s="61">
        <f t="shared" si="1"/>
        <v>65.552521924001098</v>
      </c>
      <c r="N29" s="61">
        <f t="shared" si="2"/>
        <v>12.767945603680124</v>
      </c>
      <c r="O29" s="61">
        <f t="shared" si="3"/>
        <v>12.403570711053581</v>
      </c>
      <c r="P29" s="61">
        <f t="shared" si="4"/>
        <v>12.558193977089257</v>
      </c>
      <c r="Q29" s="158">
        <f t="shared" si="5"/>
        <v>12.57657009727432</v>
      </c>
      <c r="R29" s="182">
        <f t="shared" si="13"/>
        <v>0.18288118257202721</v>
      </c>
      <c r="S29" s="161">
        <f t="shared" si="14"/>
        <v>1.4541419572866092</v>
      </c>
      <c r="T29" s="161"/>
      <c r="U29" s="53">
        <f t="shared" si="6"/>
        <v>1.8709757275804062E-4</v>
      </c>
      <c r="V29" s="53">
        <f t="shared" si="7"/>
        <v>101.12277677062492</v>
      </c>
      <c r="W29" s="150">
        <f t="shared" si="8"/>
        <v>19.696116567373412</v>
      </c>
      <c r="X29" s="53">
        <f t="shared" si="9"/>
        <v>7.8618587170501417</v>
      </c>
      <c r="Y29" s="53"/>
      <c r="AB29" s="1"/>
      <c r="AI29" s="148">
        <f t="shared" si="15"/>
        <v>10187.021778792199</v>
      </c>
      <c r="AJ29" s="33">
        <f t="shared" si="16"/>
        <v>32.394158682080061</v>
      </c>
    </row>
    <row r="30" spans="1:41" s="148" customFormat="1" x14ac:dyDescent="0.2">
      <c r="A30" s="148" t="s">
        <v>39</v>
      </c>
      <c r="B30" s="148">
        <v>1776.1354631118436</v>
      </c>
      <c r="C30" s="148">
        <f>[2]Sorted_Checked!$T$126</f>
        <v>471.74920319287099</v>
      </c>
      <c r="D30" s="148">
        <f>[2]Sorted_Checked!$T$127</f>
        <v>474.22718218621202</v>
      </c>
      <c r="E30" s="148">
        <f>[2]Sorted_Checked!$T$128</f>
        <v>472.64672953301999</v>
      </c>
      <c r="F30" s="148">
        <f t="shared" si="0"/>
        <v>472.87437163736769</v>
      </c>
      <c r="G30" s="148">
        <f t="shared" si="10"/>
        <v>1.2545758919307071</v>
      </c>
      <c r="I30" s="1">
        <f t="shared" si="11"/>
        <v>0.26699944460055514</v>
      </c>
      <c r="J30" s="154">
        <f t="shared" si="12"/>
        <v>920.00000000000011</v>
      </c>
      <c r="K30" s="154"/>
      <c r="L30" s="151">
        <v>920</v>
      </c>
      <c r="M30" s="149">
        <f t="shared" si="1"/>
        <v>1.9305820251215691</v>
      </c>
      <c r="N30" s="149">
        <f t="shared" si="2"/>
        <v>0.51277087303572932</v>
      </c>
      <c r="O30" s="149">
        <f t="shared" si="3"/>
        <v>0.51546432846327395</v>
      </c>
      <c r="P30" s="149">
        <f t="shared" si="4"/>
        <v>0.51374644514458689</v>
      </c>
      <c r="Q30" s="161">
        <f t="shared" si="5"/>
        <v>0.51399388221453002</v>
      </c>
      <c r="R30" s="182">
        <f t="shared" si="13"/>
        <v>1.3636694477507684E-3</v>
      </c>
      <c r="S30" s="161">
        <f t="shared" si="14"/>
        <v>0.26530849781235377</v>
      </c>
      <c r="T30" s="161"/>
      <c r="U30" s="150">
        <f t="shared" si="6"/>
        <v>6.2584936472390147E-6</v>
      </c>
      <c r="V30" s="150">
        <f t="shared" si="7"/>
        <v>3.3826000342002134</v>
      </c>
      <c r="W30" s="150">
        <f t="shared" si="8"/>
        <v>0.90315233043727583</v>
      </c>
      <c r="X30" s="150">
        <f t="shared" si="9"/>
        <v>0.2629825289063481</v>
      </c>
      <c r="Y30" s="150">
        <f>4*W30/$D$2*4</f>
        <v>4.8168124289988041</v>
      </c>
      <c r="Z30" s="148" t="s">
        <v>466</v>
      </c>
      <c r="AB30" s="150">
        <f>AE30*W30/$D$2*4</f>
        <v>4.0140103574990036</v>
      </c>
      <c r="AC30" s="148">
        <f t="shared" ref="AC30:AC31" si="18">Y30/W30</f>
        <v>5.333333333333333</v>
      </c>
      <c r="AE30" s="185">
        <f>100/30</f>
        <v>3.3333333333333335</v>
      </c>
      <c r="AF30" s="148" t="s">
        <v>467</v>
      </c>
      <c r="AG30" s="148" t="s">
        <v>471</v>
      </c>
      <c r="AI30" s="148">
        <f t="shared" si="15"/>
        <v>472.87437163736769</v>
      </c>
      <c r="AJ30" s="148">
        <f t="shared" si="16"/>
        <v>697.85976951414591</v>
      </c>
    </row>
    <row r="31" spans="1:41" x14ac:dyDescent="0.2">
      <c r="A31" s="1" t="s">
        <v>40</v>
      </c>
      <c r="B31" s="1">
        <v>7850.1537103841183</v>
      </c>
      <c r="C31" s="1">
        <f>[2]Sorted_Checked!$T$129</f>
        <v>2120.4516908178498</v>
      </c>
      <c r="D31" s="1">
        <f>[2]Sorted_Checked!$T$130</f>
        <v>2080.69593460232</v>
      </c>
      <c r="E31" s="1">
        <f>[2]Sorted_Checked!$T$131</f>
        <v>2100.5663229462698</v>
      </c>
      <c r="F31" s="1">
        <f t="shared" si="0"/>
        <v>2100.5713161221465</v>
      </c>
      <c r="G31" s="148">
        <f t="shared" si="10"/>
        <v>19.877878578108206</v>
      </c>
      <c r="H31" s="148"/>
      <c r="I31" s="1">
        <f t="shared" si="11"/>
        <v>0.27011594537479361</v>
      </c>
      <c r="J31" s="154">
        <f t="shared" si="12"/>
        <v>620</v>
      </c>
      <c r="K31" s="5"/>
      <c r="L31" s="9">
        <v>620</v>
      </c>
      <c r="M31" s="54">
        <f t="shared" si="1"/>
        <v>12.66153824255503</v>
      </c>
      <c r="N31" s="54">
        <f t="shared" si="2"/>
        <v>3.4200833722868542</v>
      </c>
      <c r="O31" s="54">
        <f t="shared" si="3"/>
        <v>3.3559611848424518</v>
      </c>
      <c r="P31" s="54">
        <f t="shared" si="4"/>
        <v>3.3880101983004351</v>
      </c>
      <c r="Q31" s="119">
        <f t="shared" si="5"/>
        <v>3.388018251809914</v>
      </c>
      <c r="R31" s="182">
        <f t="shared" si="13"/>
        <v>3.2061094480819688E-2</v>
      </c>
      <c r="S31" s="161">
        <f t="shared" si="14"/>
        <v>0.94630819841930669</v>
      </c>
      <c r="T31" s="161"/>
      <c r="U31" s="51">
        <f t="shared" si="6"/>
        <v>2.7661255656824332E-5</v>
      </c>
      <c r="V31" s="51">
        <f t="shared" si="7"/>
        <v>14.950396949283897</v>
      </c>
      <c r="W31" s="150">
        <f t="shared" si="8"/>
        <v>4.0383406056842501</v>
      </c>
      <c r="X31" s="51">
        <f t="shared" si="9"/>
        <v>1.1623287288253241</v>
      </c>
      <c r="Y31" s="150">
        <f>4*W31/$D$2*4</f>
        <v>21.537816563649333</v>
      </c>
      <c r="AA31" s="51"/>
      <c r="AC31" s="148">
        <f t="shared" si="18"/>
        <v>5.333333333333333</v>
      </c>
      <c r="AD31" s="148"/>
      <c r="AI31" s="148">
        <f t="shared" si="15"/>
        <v>2100.5713161221465</v>
      </c>
      <c r="AJ31" s="1">
        <f t="shared" si="16"/>
        <v>157.10011722392326</v>
      </c>
    </row>
    <row r="32" spans="1:41" x14ac:dyDescent="0.2">
      <c r="A32" s="1" t="s">
        <v>41</v>
      </c>
      <c r="B32" s="1">
        <v>13585.466078682999</v>
      </c>
      <c r="C32" s="1">
        <f>[2]Sorted_Checked!$T$132</f>
        <v>3019.24109483951</v>
      </c>
      <c r="D32" s="1">
        <f>[2]Sorted_Checked!$T$133</f>
        <v>3090.6124921044102</v>
      </c>
      <c r="E32" s="1">
        <f>[2]Sorted_Checked!$T$134</f>
        <v>3091.7061532797602</v>
      </c>
      <c r="F32" s="1">
        <f t="shared" si="0"/>
        <v>3067.18658007456</v>
      </c>
      <c r="G32" s="148">
        <f t="shared" si="10"/>
        <v>41.525608839725948</v>
      </c>
      <c r="H32" s="148"/>
      <c r="I32" s="1">
        <f t="shared" si="11"/>
        <v>0.22757453703638233</v>
      </c>
      <c r="J32" s="154">
        <f t="shared" si="12"/>
        <v>920.00000000000011</v>
      </c>
      <c r="K32" s="5"/>
      <c r="L32" s="9">
        <v>920</v>
      </c>
      <c r="M32" s="54">
        <f t="shared" si="1"/>
        <v>14.766810955090216</v>
      </c>
      <c r="N32" s="54">
        <f t="shared" si="2"/>
        <v>3.2817837987385978</v>
      </c>
      <c r="O32" s="54">
        <f t="shared" si="3"/>
        <v>3.3593614044613154</v>
      </c>
      <c r="P32" s="54">
        <f t="shared" si="4"/>
        <v>3.360550166608435</v>
      </c>
      <c r="Q32" s="119">
        <f t="shared" si="5"/>
        <v>3.3338984566027823</v>
      </c>
      <c r="R32" s="182">
        <f t="shared" si="13"/>
        <v>4.5136531347528201E-2</v>
      </c>
      <c r="S32" s="161">
        <f t="shared" si="14"/>
        <v>1.3538664100022408</v>
      </c>
      <c r="T32" s="161"/>
      <c r="U32" s="51">
        <f t="shared" si="6"/>
        <v>4.787053404094138E-5</v>
      </c>
      <c r="V32" s="51">
        <f t="shared" si="7"/>
        <v>25.873138044249053</v>
      </c>
      <c r="W32" s="150">
        <f t="shared" si="8"/>
        <v>5.8880674120983887</v>
      </c>
      <c r="X32" s="51">
        <f t="shared" si="9"/>
        <v>2.0115246274537606</v>
      </c>
      <c r="Z32" s="148" t="s">
        <v>466</v>
      </c>
      <c r="AA32" s="150">
        <f>AD32*W32/$D$2*4</f>
        <v>22.430732998470052</v>
      </c>
      <c r="AD32" s="1">
        <f>200/70</f>
        <v>2.8571428571428572</v>
      </c>
      <c r="AF32" s="148" t="s">
        <v>469</v>
      </c>
      <c r="AI32" s="148">
        <f t="shared" si="15"/>
        <v>3067.18658007456</v>
      </c>
      <c r="AJ32" s="1">
        <f t="shared" si="16"/>
        <v>107.5904550912511</v>
      </c>
    </row>
    <row r="33" spans="1:36" x14ac:dyDescent="0.2">
      <c r="A33" s="1" t="s">
        <v>42</v>
      </c>
      <c r="B33" s="1">
        <v>15251.475689245393</v>
      </c>
      <c r="C33" s="1">
        <f>[2]Sorted_Checked!$T$135</f>
        <v>3069.3377206709702</v>
      </c>
      <c r="D33" s="1">
        <f>[2]Sorted_Checked!$T$136</f>
        <v>3175.6051399995499</v>
      </c>
      <c r="E33" s="1">
        <f>[2]Sorted_Checked!$T$137</f>
        <v>3233.9531535710998</v>
      </c>
      <c r="F33" s="1">
        <f t="shared" si="0"/>
        <v>3159.6320047472068</v>
      </c>
      <c r="G33" s="148">
        <f t="shared" si="10"/>
        <v>83.46206308597047</v>
      </c>
      <c r="H33" s="148"/>
      <c r="I33" s="1">
        <f>MAX(C33:E33)/B33</f>
        <v>0.21204198331126267</v>
      </c>
      <c r="J33" s="154">
        <f t="shared" si="12"/>
        <v>609.99999999999989</v>
      </c>
      <c r="K33" s="5"/>
      <c r="L33" s="9">
        <v>610</v>
      </c>
      <c r="M33" s="54">
        <f t="shared" si="1"/>
        <v>25.002419162697368</v>
      </c>
      <c r="N33" s="54">
        <f t="shared" si="2"/>
        <v>5.0317011814278203</v>
      </c>
      <c r="O33" s="54">
        <f t="shared" si="3"/>
        <v>5.2059100655730335</v>
      </c>
      <c r="P33" s="54">
        <f t="shared" si="4"/>
        <v>5.3015625468378689</v>
      </c>
      <c r="Q33" s="119">
        <f t="shared" si="5"/>
        <v>5.1797245979462412</v>
      </c>
      <c r="R33" s="182">
        <f t="shared" si="13"/>
        <v>0.13682305423929586</v>
      </c>
      <c r="S33" s="161">
        <f t="shared" si="14"/>
        <v>2.641512143204412</v>
      </c>
      <c r="T33" s="161"/>
      <c r="U33" s="51">
        <f t="shared" si="6"/>
        <v>5.3740981864597782E-5</v>
      </c>
      <c r="V33" s="51">
        <f t="shared" si="7"/>
        <v>29.046006489650601</v>
      </c>
      <c r="W33" s="150">
        <f t="shared" si="8"/>
        <v>6.1589728233373204</v>
      </c>
      <c r="X33" s="51">
        <f t="shared" si="9"/>
        <v>2.258201432048585</v>
      </c>
      <c r="Z33" s="148" t="s">
        <v>466</v>
      </c>
      <c r="AA33" s="150">
        <f>AD33*W33/$D$2*4</f>
        <v>23.462753612713602</v>
      </c>
      <c r="AD33" s="1">
        <f>200/70</f>
        <v>2.8571428571428572</v>
      </c>
      <c r="AF33" s="148" t="s">
        <v>469</v>
      </c>
      <c r="AI33" s="148">
        <f t="shared" si="15"/>
        <v>3159.6320047472068</v>
      </c>
      <c r="AJ33" s="1">
        <f t="shared" si="16"/>
        <v>104.44254251893564</v>
      </c>
    </row>
    <row r="34" spans="1:36" x14ac:dyDescent="0.2">
      <c r="A34" s="1" t="s">
        <v>43</v>
      </c>
      <c r="B34" s="1">
        <v>14679.786493663436</v>
      </c>
      <c r="C34" s="1">
        <f>[2]Sorted_Checked!$T$138</f>
        <v>3435.6861630251401</v>
      </c>
      <c r="D34" s="1">
        <f>[2]Sorted_Checked!$T$139</f>
        <v>3502.31098554138</v>
      </c>
      <c r="E34" s="1">
        <f>[2]Sorted_Checked!$T$140</f>
        <v>3505.2151102324401</v>
      </c>
      <c r="F34" s="1">
        <f t="shared" si="0"/>
        <v>3481.0707529329866</v>
      </c>
      <c r="G34" s="148">
        <f t="shared" si="10"/>
        <v>39.33102129214123</v>
      </c>
      <c r="H34" s="148"/>
      <c r="I34" s="1">
        <f t="shared" si="11"/>
        <v>0.23877834406825157</v>
      </c>
      <c r="J34" s="154">
        <f t="shared" si="12"/>
        <v>630</v>
      </c>
      <c r="K34" s="5"/>
      <c r="L34" s="9">
        <v>630</v>
      </c>
      <c r="M34" s="54">
        <f t="shared" si="1"/>
        <v>23.301248402640372</v>
      </c>
      <c r="N34" s="54">
        <f t="shared" si="2"/>
        <v>5.4534701000399046</v>
      </c>
      <c r="O34" s="54">
        <f t="shared" si="3"/>
        <v>5.5592237865736189</v>
      </c>
      <c r="P34" s="54">
        <f t="shared" si="4"/>
        <v>5.5638335083054606</v>
      </c>
      <c r="Q34" s="119">
        <f t="shared" si="5"/>
        <v>5.5255091316396614</v>
      </c>
      <c r="R34" s="182">
        <f t="shared" si="13"/>
        <v>6.24301925272083E-2</v>
      </c>
      <c r="S34" s="161">
        <f t="shared" si="14"/>
        <v>1.1298541191385656</v>
      </c>
      <c r="T34" s="161"/>
      <c r="U34" s="51">
        <f t="shared" si="6"/>
        <v>5.1726544749268615E-5</v>
      </c>
      <c r="V34" s="51">
        <f t="shared" si="7"/>
        <v>27.957240495901821</v>
      </c>
      <c r="W34" s="150">
        <f t="shared" si="8"/>
        <v>6.6755835903293015</v>
      </c>
      <c r="X34" s="51">
        <f t="shared" si="9"/>
        <v>2.1735545830187419</v>
      </c>
      <c r="Y34" s="150">
        <f>4*W34/$D$2*4</f>
        <v>35.603112481756277</v>
      </c>
      <c r="Z34" s="148"/>
      <c r="AC34" s="148">
        <f t="shared" ref="AC34:AC36" si="19">Y34/W34</f>
        <v>5.3333333333333339</v>
      </c>
      <c r="AD34" s="148"/>
      <c r="AF34" s="148"/>
      <c r="AI34" s="148">
        <f t="shared" si="15"/>
        <v>3481.0707529329866</v>
      </c>
      <c r="AJ34" s="1">
        <f t="shared" si="16"/>
        <v>94.798417906891871</v>
      </c>
    </row>
    <row r="35" spans="1:36" s="148" customFormat="1" x14ac:dyDescent="0.2">
      <c r="A35" s="148" t="s">
        <v>294</v>
      </c>
      <c r="B35" s="148">
        <f>F35</f>
        <v>649.42793717186532</v>
      </c>
      <c r="C35" s="148">
        <f>[2]Sorted_Checked!$T$141</f>
        <v>648.89732181636202</v>
      </c>
      <c r="D35" s="148">
        <f>[2]Sorted_Checked!$T$142</f>
        <v>650.91624222805603</v>
      </c>
      <c r="E35" s="148">
        <f>[2]Sorted_Checked!$T$143</f>
        <v>648.47024747117803</v>
      </c>
      <c r="F35" s="148">
        <f t="shared" si="0"/>
        <v>649.42793717186532</v>
      </c>
      <c r="G35" s="148">
        <f t="shared" si="10"/>
        <v>1.3064788858954541</v>
      </c>
      <c r="I35" s="1">
        <f t="shared" si="11"/>
        <v>1.0022917170189383</v>
      </c>
      <c r="J35" s="154">
        <f t="shared" si="12"/>
        <v>870</v>
      </c>
      <c r="K35" s="154"/>
      <c r="L35" s="151">
        <v>870</v>
      </c>
      <c r="M35" s="149"/>
      <c r="N35" s="149">
        <f t="shared" ref="N35:N37" si="20">(C35*$B$3*$B$1)/($L35*10^(-3))</f>
        <v>0.74585899059351957</v>
      </c>
      <c r="O35" s="149">
        <f t="shared" ref="O35:O37" si="21">(D35*$B$3*$B$1)/($L35*10^(-3))</f>
        <v>0.74817958876788049</v>
      </c>
      <c r="P35" s="149">
        <f t="shared" ref="P35:P37" si="22">(E35*$B$3*$B$1)/($L35*10^(-3))</f>
        <v>0.74536810054158387</v>
      </c>
      <c r="Q35" s="161">
        <f t="shared" ref="Q35:Q49" si="23">(F35*$B$3*$B$1)/($L35*10^(-3))</f>
        <v>0.74646889330099464</v>
      </c>
      <c r="R35" s="182">
        <f t="shared" si="13"/>
        <v>1.5016998688453496E-3</v>
      </c>
      <c r="S35" s="161">
        <f t="shared" si="14"/>
        <v>0.20117380406899651</v>
      </c>
      <c r="T35" s="161"/>
      <c r="U35" s="150">
        <f t="shared" si="6"/>
        <v>2.2883618415053961E-6</v>
      </c>
      <c r="V35" s="150">
        <f t="shared" si="7"/>
        <v>1.2368172406395985</v>
      </c>
      <c r="W35" s="150">
        <f t="shared" si="8"/>
        <v>1.2396516757592886</v>
      </c>
      <c r="X35" s="150">
        <f t="shared" si="9"/>
        <v>9.6157193416240891E-2</v>
      </c>
      <c r="Y35" s="150">
        <f>4*W35/$D$2*4</f>
        <v>6.6114756040495388</v>
      </c>
      <c r="Z35" s="148" t="s">
        <v>466</v>
      </c>
      <c r="AA35" s="150">
        <f>AD35*W35/$D$2*4</f>
        <v>19.834426812148617</v>
      </c>
      <c r="AB35" s="1"/>
      <c r="AC35" s="148">
        <f t="shared" si="19"/>
        <v>5.333333333333333</v>
      </c>
      <c r="AD35" s="184">
        <f>300/25</f>
        <v>12</v>
      </c>
      <c r="AF35" s="148" t="s">
        <v>467</v>
      </c>
      <c r="AI35" s="148">
        <f t="shared" si="15"/>
        <v>649.42793717186532</v>
      </c>
      <c r="AJ35" s="148">
        <f t="shared" si="16"/>
        <v>508.13951958563257</v>
      </c>
    </row>
    <row r="36" spans="1:36" x14ac:dyDescent="0.2">
      <c r="A36" s="1" t="s">
        <v>243</v>
      </c>
      <c r="B36" s="1">
        <f t="shared" ref="B36:B52" si="24">F36</f>
        <v>3880.0678055328099</v>
      </c>
      <c r="C36" s="51" t="s">
        <v>210</v>
      </c>
      <c r="D36" s="51" t="s">
        <v>210</v>
      </c>
      <c r="E36" s="51" t="s">
        <v>210</v>
      </c>
      <c r="F36" s="64">
        <f>'[3]s-Metolachlor'!$F$13</f>
        <v>3880.0678055328099</v>
      </c>
      <c r="G36" s="148"/>
      <c r="H36" s="148"/>
      <c r="I36" s="1">
        <f>MAX(C36:F36)/B36</f>
        <v>1</v>
      </c>
      <c r="J36" s="154">
        <f t="shared" si="12"/>
        <v>869.99999999999989</v>
      </c>
      <c r="K36" s="5"/>
      <c r="L36" s="9">
        <v>870</v>
      </c>
      <c r="M36" s="54"/>
      <c r="N36" s="54"/>
      <c r="O36" s="54"/>
      <c r="P36" s="54"/>
      <c r="Q36" s="119">
        <f>(F36*$B$3*$B$1)/($L36*10^(-3))</f>
        <v>4.4598480523365636</v>
      </c>
      <c r="R36" s="182"/>
      <c r="S36" s="161"/>
      <c r="T36" s="161"/>
      <c r="U36" s="51">
        <f t="shared" si="6"/>
        <v>1.3672031337766599E-5</v>
      </c>
      <c r="V36" s="51">
        <f t="shared" si="7"/>
        <v>7.3894800054830982</v>
      </c>
      <c r="W36" s="150">
        <f t="shared" si="8"/>
        <v>7.3894800054830982</v>
      </c>
      <c r="X36" s="51">
        <f t="shared" si="9"/>
        <v>0.5745001240160863</v>
      </c>
      <c r="Y36" s="150">
        <f>4*W36/$D$2*4</f>
        <v>39.410560029243193</v>
      </c>
      <c r="AC36" s="148">
        <f t="shared" si="19"/>
        <v>5.3333333333333339</v>
      </c>
      <c r="AD36" s="148"/>
      <c r="AI36" s="148">
        <f t="shared" si="15"/>
        <v>3880.0678055328099</v>
      </c>
      <c r="AJ36" s="1">
        <f t="shared" si="16"/>
        <v>85.050060086433078</v>
      </c>
    </row>
    <row r="37" spans="1:36" s="148" customFormat="1" x14ac:dyDescent="0.2">
      <c r="A37" s="148" t="s">
        <v>295</v>
      </c>
      <c r="B37" s="148">
        <f t="shared" si="24"/>
        <v>718.31443843982561</v>
      </c>
      <c r="C37" s="150">
        <f>[2]Sorted_Checked!$T$145</f>
        <v>696.81093401000498</v>
      </c>
      <c r="D37" s="150">
        <f>[2]Sorted_Checked!$T$146</f>
        <v>700.84591733224295</v>
      </c>
      <c r="E37" s="150">
        <f>[2]Sorted_Checked!$T$147</f>
        <v>757.286463977229</v>
      </c>
      <c r="F37" s="148">
        <f t="shared" ref="F37" si="25">AVERAGE(C37:E37)</f>
        <v>718.31443843982561</v>
      </c>
      <c r="G37" s="148">
        <f t="shared" si="10"/>
        <v>33.811009353000678</v>
      </c>
      <c r="I37" s="1">
        <f t="shared" ref="I37:I51" si="26">MAX(C37:F37)/B37</f>
        <v>1.0542548269279544</v>
      </c>
      <c r="J37" s="154">
        <f t="shared" si="12"/>
        <v>230</v>
      </c>
      <c r="K37" s="154"/>
      <c r="L37" s="151">
        <v>230</v>
      </c>
      <c r="M37" s="149"/>
      <c r="N37" s="149">
        <f t="shared" si="20"/>
        <v>3.0296127565652391</v>
      </c>
      <c r="O37" s="149">
        <f t="shared" si="21"/>
        <v>3.0471561623140997</v>
      </c>
      <c r="P37" s="149">
        <f t="shared" si="22"/>
        <v>3.2925498433792564</v>
      </c>
      <c r="Q37" s="161">
        <f t="shared" si="23"/>
        <v>3.1231062540861982</v>
      </c>
      <c r="R37" s="182">
        <f t="shared" si="13"/>
        <v>0.14700438849130729</v>
      </c>
      <c r="S37" s="161">
        <f t="shared" si="14"/>
        <v>4.7069928632421725</v>
      </c>
      <c r="T37" s="161"/>
      <c r="U37" s="150">
        <f t="shared" si="6"/>
        <v>2.5310943016808749E-6</v>
      </c>
      <c r="V37" s="150">
        <f t="shared" si="7"/>
        <v>1.3680096448139318</v>
      </c>
      <c r="W37" s="150">
        <f t="shared" si="8"/>
        <v>1.4422307713290841</v>
      </c>
      <c r="X37" s="150">
        <f t="shared" si="9"/>
        <v>0.10635683566606055</v>
      </c>
      <c r="Y37" s="150"/>
      <c r="AA37" s="150">
        <f>AD37*W37/$D$2*4</f>
        <v>7.691897447088448</v>
      </c>
      <c r="AB37" s="1"/>
      <c r="AD37" s="184">
        <f>100/25</f>
        <v>4</v>
      </c>
      <c r="AI37" s="148">
        <f t="shared" si="15"/>
        <v>718.31443843982561</v>
      </c>
      <c r="AJ37" s="148">
        <f t="shared" si="16"/>
        <v>459.40883593647078</v>
      </c>
    </row>
    <row r="38" spans="1:36" s="148" customFormat="1" x14ac:dyDescent="0.2">
      <c r="A38" s="148" t="s">
        <v>202</v>
      </c>
      <c r="B38" s="148">
        <f t="shared" si="24"/>
        <v>18.400012440558601</v>
      </c>
      <c r="C38" s="150" t="s">
        <v>210</v>
      </c>
      <c r="D38" s="150" t="s">
        <v>210</v>
      </c>
      <c r="E38" s="150" t="s">
        <v>210</v>
      </c>
      <c r="F38" s="163">
        <f>'[4]s-Metolachlor'!F9</f>
        <v>18.400012440558601</v>
      </c>
      <c r="I38" s="1">
        <f t="shared" si="26"/>
        <v>1</v>
      </c>
      <c r="J38" s="154">
        <f t="shared" si="12"/>
        <v>970</v>
      </c>
      <c r="L38" s="150">
        <v>970</v>
      </c>
      <c r="M38" s="150" t="s">
        <v>210</v>
      </c>
      <c r="N38" s="150"/>
      <c r="O38" s="150"/>
      <c r="P38" s="150"/>
      <c r="Q38" s="161">
        <f t="shared" si="23"/>
        <v>1.8969084990266599E-2</v>
      </c>
      <c r="R38" s="182"/>
      <c r="S38" s="161"/>
      <c r="T38" s="161"/>
      <c r="U38" s="150">
        <f t="shared" si="6"/>
        <v>6.4835348068889629E-8</v>
      </c>
      <c r="V38" s="150">
        <f t="shared" si="7"/>
        <v>3.5042306177295569E-2</v>
      </c>
      <c r="W38" s="150">
        <f t="shared" si="8"/>
        <v>3.5042306177295569E-2</v>
      </c>
      <c r="X38" s="150">
        <f t="shared" si="9"/>
        <v>2.7243878093895493E-3</v>
      </c>
      <c r="Y38" s="150"/>
      <c r="AB38" s="1"/>
      <c r="AI38" s="148">
        <f t="shared" si="15"/>
        <v>18.400012440558601</v>
      </c>
      <c r="AJ38" s="148">
        <f t="shared" si="16"/>
        <v>17934.770482686785</v>
      </c>
    </row>
    <row r="39" spans="1:36" s="148" customFormat="1" x14ac:dyDescent="0.2">
      <c r="A39" s="148" t="s">
        <v>203</v>
      </c>
      <c r="B39" s="148">
        <f t="shared" si="24"/>
        <v>7.4712790275197296</v>
      </c>
      <c r="C39" s="150" t="s">
        <v>210</v>
      </c>
      <c r="D39" s="150" t="s">
        <v>210</v>
      </c>
      <c r="E39" s="150" t="s">
        <v>210</v>
      </c>
      <c r="F39" s="163">
        <f>'[4]s-Metolachlor'!F10</f>
        <v>7.4712790275197296</v>
      </c>
      <c r="I39" s="1">
        <f t="shared" si="26"/>
        <v>1</v>
      </c>
      <c r="J39" s="154">
        <f t="shared" si="12"/>
        <v>680</v>
      </c>
      <c r="L39" s="150">
        <v>680</v>
      </c>
      <c r="M39" s="150" t="s">
        <v>210</v>
      </c>
      <c r="N39" s="150"/>
      <c r="O39" s="150"/>
      <c r="P39" s="150"/>
      <c r="Q39" s="161">
        <f t="shared" si="23"/>
        <v>1.098717504047019E-2</v>
      </c>
      <c r="R39" s="182"/>
      <c r="S39" s="161"/>
      <c r="T39" s="161"/>
      <c r="U39" s="150">
        <f t="shared" si="6"/>
        <v>2.6326230910653179E-8</v>
      </c>
      <c r="V39" s="150">
        <f t="shared" si="7"/>
        <v>1.4228840771936197E-2</v>
      </c>
      <c r="W39" s="150">
        <f t="shared" si="8"/>
        <v>1.4228840771936197E-2</v>
      </c>
      <c r="X39" s="150">
        <f t="shared" si="9"/>
        <v>1.1062308554887377E-3</v>
      </c>
      <c r="Y39" s="150"/>
      <c r="AI39" s="148">
        <f t="shared" si="15"/>
        <v>7.4712790275197296</v>
      </c>
      <c r="AJ39" s="148">
        <f t="shared" si="16"/>
        <v>44169.144102967788</v>
      </c>
    </row>
    <row r="40" spans="1:36" s="148" customFormat="1" x14ac:dyDescent="0.2">
      <c r="A40" s="148" t="s">
        <v>204</v>
      </c>
      <c r="B40" s="148">
        <f t="shared" si="24"/>
        <v>29.51021402061</v>
      </c>
      <c r="C40" s="150" t="s">
        <v>210</v>
      </c>
      <c r="D40" s="150" t="s">
        <v>210</v>
      </c>
      <c r="E40" s="150" t="s">
        <v>210</v>
      </c>
      <c r="F40" s="163">
        <f>'[4]s-Metolachlor'!F11</f>
        <v>29.51021402061</v>
      </c>
      <c r="I40" s="1">
        <f t="shared" si="26"/>
        <v>1</v>
      </c>
      <c r="J40" s="154">
        <f t="shared" si="12"/>
        <v>1200</v>
      </c>
      <c r="L40" s="150">
        <v>1200</v>
      </c>
      <c r="M40" s="150" t="s">
        <v>210</v>
      </c>
      <c r="N40" s="150"/>
      <c r="O40" s="150"/>
      <c r="P40" s="150"/>
      <c r="Q40" s="161">
        <f t="shared" si="23"/>
        <v>2.4591845017175002E-2</v>
      </c>
      <c r="R40" s="182"/>
      <c r="S40" s="161"/>
      <c r="T40" s="161"/>
      <c r="U40" s="150">
        <f t="shared" si="6"/>
        <v>1.039838969562996E-7</v>
      </c>
      <c r="V40" s="150">
        <f t="shared" si="7"/>
        <v>5.6201372602786244E-2</v>
      </c>
      <c r="W40" s="150">
        <f t="shared" si="8"/>
        <v>5.6201372602786244E-2</v>
      </c>
      <c r="X40" s="150">
        <f t="shared" si="9"/>
        <v>4.3694137484934044E-3</v>
      </c>
      <c r="Y40" s="150"/>
      <c r="AI40" s="148">
        <f t="shared" si="15"/>
        <v>29.51021402061</v>
      </c>
      <c r="AJ40" s="148">
        <f t="shared" si="16"/>
        <v>11182.568847841199</v>
      </c>
    </row>
    <row r="41" spans="1:36" s="148" customFormat="1" x14ac:dyDescent="0.2">
      <c r="A41" s="148" t="s">
        <v>205</v>
      </c>
      <c r="B41" s="148">
        <f t="shared" si="24"/>
        <v>16.791080681300802</v>
      </c>
      <c r="C41" s="150" t="s">
        <v>210</v>
      </c>
      <c r="D41" s="150" t="s">
        <v>210</v>
      </c>
      <c r="E41" s="150" t="s">
        <v>210</v>
      </c>
      <c r="F41" s="163">
        <f>'[4]s-Metolachlor'!F12</f>
        <v>16.791080681300802</v>
      </c>
      <c r="I41" s="1">
        <f t="shared" si="26"/>
        <v>1</v>
      </c>
      <c r="J41" s="154">
        <f xml:space="preserve"> F41/Q41</f>
        <v>600</v>
      </c>
      <c r="L41" s="150">
        <v>600</v>
      </c>
      <c r="M41" s="150" t="s">
        <v>210</v>
      </c>
      <c r="N41" s="150"/>
      <c r="O41" s="150"/>
      <c r="P41" s="150"/>
      <c r="Q41" s="161">
        <f t="shared" si="23"/>
        <v>2.7985134468834667E-2</v>
      </c>
      <c r="R41" s="182"/>
      <c r="S41" s="161"/>
      <c r="T41" s="161"/>
      <c r="U41" s="150">
        <f t="shared" si="6"/>
        <v>5.9166023063400475E-8</v>
      </c>
      <c r="V41" s="150">
        <f t="shared" si="7"/>
        <v>3.1978140894341284E-2</v>
      </c>
      <c r="W41" s="150">
        <f t="shared" si="8"/>
        <v>3.1978140894341284E-2</v>
      </c>
      <c r="X41" s="150">
        <f t="shared" si="9"/>
        <v>2.4861622057263943E-3</v>
      </c>
      <c r="Y41" s="150"/>
      <c r="AI41" s="148">
        <f t="shared" si="15"/>
        <v>16.791080681300802</v>
      </c>
      <c r="AJ41" s="148">
        <f t="shared" si="16"/>
        <v>19653.291307658405</v>
      </c>
    </row>
    <row r="42" spans="1:36" x14ac:dyDescent="0.2">
      <c r="A42" s="1" t="s">
        <v>244</v>
      </c>
      <c r="B42" s="1">
        <f t="shared" si="24"/>
        <v>3535.8848192660398</v>
      </c>
      <c r="C42" s="51" t="s">
        <v>210</v>
      </c>
      <c r="D42" s="51" t="s">
        <v>210</v>
      </c>
      <c r="E42" s="51" t="s">
        <v>210</v>
      </c>
      <c r="F42" s="56">
        <f>'[3]s-Metolachlor'!$F$14</f>
        <v>3535.8848192660398</v>
      </c>
      <c r="G42" s="148"/>
      <c r="H42" s="148"/>
      <c r="I42" s="1">
        <f t="shared" si="26"/>
        <v>1</v>
      </c>
      <c r="J42" s="154">
        <f t="shared" si="12"/>
        <v>520</v>
      </c>
      <c r="L42" s="51">
        <v>520</v>
      </c>
      <c r="Q42" s="119">
        <f t="shared" si="23"/>
        <v>6.7997784985885374</v>
      </c>
      <c r="R42" s="182"/>
      <c r="S42" s="161"/>
      <c r="T42" s="161"/>
      <c r="U42" s="51">
        <f t="shared" si="6"/>
        <v>1.245924826025046E-5</v>
      </c>
      <c r="V42" s="51">
        <f t="shared" si="7"/>
        <v>6.7339931885725592</v>
      </c>
      <c r="W42" s="150">
        <f t="shared" si="8"/>
        <v>6.7339931885725592</v>
      </c>
      <c r="X42" s="51">
        <f t="shared" si="9"/>
        <v>0.52353885782055032</v>
      </c>
      <c r="Y42" s="150">
        <f>4*W42/$D$2*4</f>
        <v>35.914630339053652</v>
      </c>
      <c r="AC42" s="148">
        <f>Y42/W42</f>
        <v>5.3333333333333339</v>
      </c>
      <c r="AD42" s="148"/>
      <c r="AI42" s="148">
        <f t="shared" si="15"/>
        <v>3535.8848192660398</v>
      </c>
      <c r="AJ42" s="1">
        <f t="shared" si="16"/>
        <v>93.328831924027341</v>
      </c>
    </row>
    <row r="43" spans="1:36" x14ac:dyDescent="0.2">
      <c r="A43" s="1" t="s">
        <v>211</v>
      </c>
      <c r="B43" s="20">
        <f>F43</f>
        <v>9414.5566102394096</v>
      </c>
      <c r="C43" s="51" t="s">
        <v>210</v>
      </c>
      <c r="D43" s="51" t="s">
        <v>210</v>
      </c>
      <c r="E43" s="51" t="s">
        <v>210</v>
      </c>
      <c r="F43" s="56">
        <f>'[5]s-Metolachlor'!$F$8</f>
        <v>9414.5566102394096</v>
      </c>
      <c r="G43" s="148"/>
      <c r="H43" s="148"/>
      <c r="I43" s="1">
        <f t="shared" si="26"/>
        <v>1</v>
      </c>
      <c r="J43" s="154">
        <f t="shared" si="12"/>
        <v>560</v>
      </c>
      <c r="L43" s="51">
        <v>560</v>
      </c>
      <c r="M43" s="51" t="s">
        <v>210</v>
      </c>
      <c r="Q43" s="119">
        <f t="shared" si="23"/>
        <v>16.811708232570375</v>
      </c>
      <c r="R43" s="182"/>
      <c r="S43" s="161"/>
      <c r="T43" s="161"/>
      <c r="U43" s="51">
        <f t="shared" si="6"/>
        <v>3.3173676197830161E-5</v>
      </c>
      <c r="V43" s="51">
        <f t="shared" si="7"/>
        <v>17.929758271917539</v>
      </c>
      <c r="W43" s="150">
        <f t="shared" si="8"/>
        <v>17.929758271917539</v>
      </c>
      <c r="X43" s="51">
        <f t="shared" si="9"/>
        <v>1.393961191200443</v>
      </c>
      <c r="AI43" s="148">
        <f t="shared" si="15"/>
        <v>9414.5566102394096</v>
      </c>
      <c r="AJ43" s="1">
        <f t="shared" si="16"/>
        <v>35.052102150098833</v>
      </c>
    </row>
    <row r="44" spans="1:36" s="148" customFormat="1" x14ac:dyDescent="0.2">
      <c r="A44" s="148" t="s">
        <v>245</v>
      </c>
      <c r="B44" s="148">
        <f t="shared" si="24"/>
        <v>1051.4709883851599</v>
      </c>
      <c r="C44" s="150" t="s">
        <v>210</v>
      </c>
      <c r="D44" s="150" t="s">
        <v>210</v>
      </c>
      <c r="E44" s="150" t="s">
        <v>210</v>
      </c>
      <c r="F44" s="163">
        <f>'[3]s-Metolachlor'!$F$15</f>
        <v>1051.4709883851599</v>
      </c>
      <c r="I44" s="1">
        <f t="shared" si="26"/>
        <v>1</v>
      </c>
      <c r="J44" s="154">
        <f t="shared" si="12"/>
        <v>1032</v>
      </c>
      <c r="L44" s="150">
        <v>1032</v>
      </c>
      <c r="M44" s="150"/>
      <c r="N44" s="150"/>
      <c r="O44" s="150"/>
      <c r="P44" s="150"/>
      <c r="Q44" s="161">
        <f t="shared" si="23"/>
        <v>1.0188672368073255</v>
      </c>
      <c r="R44" s="182"/>
      <c r="S44" s="161"/>
      <c r="T44" s="161"/>
      <c r="U44" s="150">
        <f t="shared" si="6"/>
        <v>3.7050239904197375E-6</v>
      </c>
      <c r="V44" s="150">
        <f t="shared" si="7"/>
        <v>2.002496923878045</v>
      </c>
      <c r="W44" s="150">
        <f t="shared" si="8"/>
        <v>2.002496923878045</v>
      </c>
      <c r="X44" s="150">
        <f t="shared" si="9"/>
        <v>0.15568547857983642</v>
      </c>
      <c r="Y44" s="150">
        <f>4*W44/$D$2*4</f>
        <v>10.679983594016241</v>
      </c>
      <c r="AC44" s="148">
        <f>Y44/W44</f>
        <v>5.3333333333333339</v>
      </c>
      <c r="AI44" s="148">
        <f t="shared" si="15"/>
        <v>1051.4709883851599</v>
      </c>
      <c r="AJ44" s="148">
        <f t="shared" si="16"/>
        <v>313.84603440824475</v>
      </c>
    </row>
    <row r="45" spans="1:36" s="148" customFormat="1" x14ac:dyDescent="0.2">
      <c r="A45" s="148" t="s">
        <v>206</v>
      </c>
      <c r="B45" s="148">
        <f t="shared" si="24"/>
        <v>156.36041994941101</v>
      </c>
      <c r="C45" s="150" t="s">
        <v>210</v>
      </c>
      <c r="D45" s="150" t="s">
        <v>210</v>
      </c>
      <c r="E45" s="150" t="s">
        <v>210</v>
      </c>
      <c r="F45" s="164">
        <f>'[6]s-Metolachlor'!$F$13</f>
        <v>156.36041994941101</v>
      </c>
      <c r="I45" s="1">
        <f t="shared" si="26"/>
        <v>1</v>
      </c>
      <c r="J45" s="154">
        <f t="shared" si="12"/>
        <v>1050</v>
      </c>
      <c r="L45" s="151">
        <v>1050</v>
      </c>
      <c r="M45" s="150" t="s">
        <v>210</v>
      </c>
      <c r="N45" s="150"/>
      <c r="O45" s="150"/>
      <c r="P45" s="150"/>
      <c r="Q45" s="161">
        <f t="shared" si="23"/>
        <v>0.14891468566610572</v>
      </c>
      <c r="R45" s="182"/>
      <c r="S45" s="161"/>
      <c r="T45" s="161"/>
      <c r="U45" s="150">
        <f t="shared" si="6"/>
        <v>5.5096061942173598E-7</v>
      </c>
      <c r="V45" s="150">
        <f t="shared" si="7"/>
        <v>0.29778402202598903</v>
      </c>
      <c r="W45" s="150">
        <f t="shared" si="8"/>
        <v>0.29778402202598903</v>
      </c>
      <c r="X45" s="150">
        <f t="shared" si="9"/>
        <v>2.3151420324163292E-2</v>
      </c>
      <c r="AI45" s="148">
        <f t="shared" si="15"/>
        <v>156.36041994941101</v>
      </c>
      <c r="AJ45" s="148">
        <f t="shared" si="16"/>
        <v>2110.5085296315301</v>
      </c>
    </row>
    <row r="46" spans="1:36" s="148" customFormat="1" x14ac:dyDescent="0.2">
      <c r="A46" s="148" t="s">
        <v>296</v>
      </c>
      <c r="B46" s="148">
        <f t="shared" si="24"/>
        <v>65.228098533831925</v>
      </c>
      <c r="C46" s="150">
        <f>[2]Sorted_Checked!$T$156</f>
        <v>65.047846023512193</v>
      </c>
      <c r="D46" s="150">
        <f>[2]Sorted_Checked!$T$157</f>
        <v>65.024861985368403</v>
      </c>
      <c r="E46" s="150">
        <f>[2]Sorted_Checked!$T$158</f>
        <v>65.611587592615194</v>
      </c>
      <c r="F46" s="148">
        <f t="shared" ref="F46" si="27">AVERAGE(C46:E46)</f>
        <v>65.228098533831925</v>
      </c>
      <c r="G46" s="148">
        <f t="shared" si="10"/>
        <v>0.33231003619692884</v>
      </c>
      <c r="I46" s="1">
        <f t="shared" si="26"/>
        <v>1.0058792003354868</v>
      </c>
      <c r="J46" s="154">
        <f t="shared" si="12"/>
        <v>390</v>
      </c>
      <c r="L46" s="151">
        <v>390</v>
      </c>
      <c r="M46" s="150"/>
      <c r="N46" s="149">
        <f t="shared" ref="N46" si="28">(C46*$B$3*$B$1)/($L46*10^(-3))</f>
        <v>0.1667893487782364</v>
      </c>
      <c r="O46" s="149">
        <f t="shared" ref="O46" si="29">(D46*$B$3*$B$1)/($L46*10^(-3))</f>
        <v>0.16673041534709845</v>
      </c>
      <c r="P46" s="149">
        <f t="shared" ref="P46" si="30">(E46*$B$3*$B$1)/($L46*10^(-3))</f>
        <v>0.16823483998106459</v>
      </c>
      <c r="Q46" s="161">
        <f t="shared" si="23"/>
        <v>0.16725153470213314</v>
      </c>
      <c r="R46" s="182">
        <f t="shared" si="13"/>
        <v>8.5207701588956117E-4</v>
      </c>
      <c r="S46" s="161">
        <f t="shared" si="14"/>
        <v>0.50945841388365676</v>
      </c>
      <c r="T46" s="161"/>
      <c r="U46" s="150">
        <f t="shared" si="6"/>
        <v>2.2984150070413932E-7</v>
      </c>
      <c r="V46" s="150">
        <f t="shared" si="7"/>
        <v>0.12422507906282426</v>
      </c>
      <c r="W46" s="150">
        <f t="shared" si="8"/>
        <v>0.1249554231893263</v>
      </c>
      <c r="X46" s="150">
        <f t="shared" si="9"/>
        <v>9.6579628437380039E-3</v>
      </c>
      <c r="AI46" s="148">
        <f t="shared" si="15"/>
        <v>65.228098533831925</v>
      </c>
      <c r="AJ46" s="148">
        <f t="shared" si="16"/>
        <v>5059.1693981212493</v>
      </c>
    </row>
    <row r="47" spans="1:36" s="148" customFormat="1" x14ac:dyDescent="0.2">
      <c r="A47" s="148" t="s">
        <v>207</v>
      </c>
      <c r="B47" s="148">
        <f t="shared" si="24"/>
        <v>62.670649186295201</v>
      </c>
      <c r="C47" s="150" t="s">
        <v>210</v>
      </c>
      <c r="D47" s="150" t="s">
        <v>210</v>
      </c>
      <c r="E47" s="150" t="s">
        <v>210</v>
      </c>
      <c r="F47" s="163">
        <f>'[4]s-Metolachlor'!F14</f>
        <v>62.670649186295201</v>
      </c>
      <c r="I47" s="1">
        <f t="shared" si="26"/>
        <v>1</v>
      </c>
      <c r="J47" s="154">
        <f t="shared" si="12"/>
        <v>1000.0000000000001</v>
      </c>
      <c r="L47" s="150">
        <v>1000</v>
      </c>
      <c r="M47" s="150" t="s">
        <v>210</v>
      </c>
      <c r="N47" s="150"/>
      <c r="O47" s="150"/>
      <c r="P47" s="150"/>
      <c r="Q47" s="161">
        <f t="shared" si="23"/>
        <v>6.2670649186295196E-2</v>
      </c>
      <c r="R47" s="182"/>
      <c r="S47" s="161"/>
      <c r="T47" s="161"/>
      <c r="U47" s="150">
        <f t="shared" si="6"/>
        <v>2.2082992426353859E-7</v>
      </c>
      <c r="V47" s="150">
        <f t="shared" si="7"/>
        <v>0.11935448871084373</v>
      </c>
      <c r="W47" s="150">
        <f t="shared" si="8"/>
        <v>0.11935448871084373</v>
      </c>
      <c r="X47" s="150">
        <f t="shared" si="9"/>
        <v>9.2792955005463161E-3</v>
      </c>
      <c r="Y47" s="150"/>
      <c r="AI47" s="148">
        <f t="shared" si="15"/>
        <v>62.670649186295201</v>
      </c>
      <c r="AJ47" s="148">
        <f t="shared" si="16"/>
        <v>5265.6228120286378</v>
      </c>
    </row>
    <row r="48" spans="1:36" s="148" customFormat="1" x14ac:dyDescent="0.2">
      <c r="A48" s="148" t="s">
        <v>208</v>
      </c>
      <c r="B48" s="148">
        <f t="shared" si="24"/>
        <v>87.802646043399307</v>
      </c>
      <c r="C48" s="150" t="s">
        <v>210</v>
      </c>
      <c r="D48" s="150" t="s">
        <v>210</v>
      </c>
      <c r="E48" s="150" t="s">
        <v>210</v>
      </c>
      <c r="F48" s="163">
        <f>'[4]s-Metolachlor'!F15</f>
        <v>87.802646043399307</v>
      </c>
      <c r="I48" s="1">
        <f t="shared" si="26"/>
        <v>1</v>
      </c>
      <c r="J48" s="154">
        <f t="shared" si="12"/>
        <v>2000</v>
      </c>
      <c r="L48" s="150">
        <v>2000</v>
      </c>
      <c r="M48" s="150" t="s">
        <v>210</v>
      </c>
      <c r="N48" s="150"/>
      <c r="O48" s="150"/>
      <c r="P48" s="150"/>
      <c r="Q48" s="161">
        <f t="shared" si="23"/>
        <v>4.3901323021699655E-2</v>
      </c>
      <c r="R48" s="182"/>
      <c r="S48" s="161"/>
      <c r="T48" s="161"/>
      <c r="U48" s="150">
        <f t="shared" si="6"/>
        <v>3.0938648199199182E-7</v>
      </c>
      <c r="V48" s="150">
        <f t="shared" si="7"/>
        <v>0.16721766986675476</v>
      </c>
      <c r="W48" s="150">
        <f t="shared" si="8"/>
        <v>0.16721766986675476</v>
      </c>
      <c r="X48" s="150">
        <f t="shared" si="9"/>
        <v>1.3000450911951697E-2</v>
      </c>
      <c r="Y48" s="150"/>
      <c r="AI48" s="148">
        <f t="shared" si="15"/>
        <v>87.802646043399307</v>
      </c>
      <c r="AJ48" s="148">
        <f t="shared" si="16"/>
        <v>3758.4288728256183</v>
      </c>
    </row>
    <row r="49" spans="1:36" s="148" customFormat="1" x14ac:dyDescent="0.2">
      <c r="A49" s="148" t="s">
        <v>209</v>
      </c>
      <c r="B49" s="148">
        <f t="shared" si="24"/>
        <v>116.46558830968399</v>
      </c>
      <c r="C49" s="150" t="s">
        <v>210</v>
      </c>
      <c r="D49" s="150" t="s">
        <v>210</v>
      </c>
      <c r="E49" s="150" t="s">
        <v>210</v>
      </c>
      <c r="F49" s="164">
        <f>'[6]s-Metolachlor'!$F$16</f>
        <v>116.46558830968399</v>
      </c>
      <c r="I49" s="1">
        <f t="shared" si="26"/>
        <v>1</v>
      </c>
      <c r="J49" s="154">
        <f t="shared" si="12"/>
        <v>3750</v>
      </c>
      <c r="L49" s="150">
        <v>3750</v>
      </c>
      <c r="M49" s="150" t="s">
        <v>210</v>
      </c>
      <c r="N49" s="150"/>
      <c r="O49" s="150"/>
      <c r="P49" s="150"/>
      <c r="Q49" s="161">
        <f t="shared" si="23"/>
        <v>3.1057490215915733E-2</v>
      </c>
      <c r="R49" s="182"/>
      <c r="S49" s="161"/>
      <c r="T49" s="161"/>
      <c r="U49" s="150">
        <f t="shared" si="6"/>
        <v>4.1038488318962911E-7</v>
      </c>
      <c r="V49" s="150">
        <f t="shared" si="7"/>
        <v>0.22180543724365551</v>
      </c>
      <c r="W49" s="150">
        <f t="shared" si="8"/>
        <v>0.22180543724365551</v>
      </c>
      <c r="X49" s="150">
        <f t="shared" si="9"/>
        <v>1.7244413830116538E-2</v>
      </c>
      <c r="Y49" s="150"/>
      <c r="AI49" s="148">
        <f t="shared" si="15"/>
        <v>116.46558830968399</v>
      </c>
      <c r="AJ49" s="148">
        <f t="shared" si="16"/>
        <v>2833.4549697420011</v>
      </c>
    </row>
    <row r="50" spans="1:36" s="148" customFormat="1" ht="16.5" customHeight="1" x14ac:dyDescent="0.2">
      <c r="A50" s="148" t="s">
        <v>383</v>
      </c>
      <c r="B50" s="148">
        <f t="shared" si="24"/>
        <v>27.339834848553501</v>
      </c>
      <c r="C50" s="148">
        <f>[2]Sorted_Checked!$T$162</f>
        <v>27.259655620893302</v>
      </c>
      <c r="D50" s="148">
        <f>[2]Sorted_Checked!$T$163</f>
        <v>27.4200140762137</v>
      </c>
      <c r="F50" s="148">
        <f t="shared" ref="F50:F52" si="31">AVERAGE(C50:E50)</f>
        <v>27.339834848553501</v>
      </c>
      <c r="G50" s="148">
        <f t="shared" si="10"/>
        <v>0.11339055117765394</v>
      </c>
      <c r="I50" s="1">
        <f t="shared" si="26"/>
        <v>1.0029326888075347</v>
      </c>
      <c r="J50" s="154">
        <f t="shared" si="12"/>
        <v>2000</v>
      </c>
      <c r="L50" s="150">
        <v>2000</v>
      </c>
      <c r="M50" s="150"/>
      <c r="N50" s="149">
        <f t="shared" ref="N50:N52" si="32">(C50*$B$3*$B$1)/($L50*10^(-3))</f>
        <v>1.3629827810446651E-2</v>
      </c>
      <c r="O50" s="149">
        <f t="shared" ref="O50:O52" si="33">(D50*$B$3*$B$1)/($L50*10^(-3))</f>
        <v>1.3710007038106851E-2</v>
      </c>
      <c r="P50" s="149">
        <f t="shared" ref="P50:P52" si="34">(E50*$B$3*$B$1)/($L50*10^(-3))</f>
        <v>0</v>
      </c>
      <c r="Q50" s="161">
        <f t="shared" ref="Q50:Q52" si="35">(F50*$B$3*$B$1)/($L50*10^(-3))</f>
        <v>1.3669917424276751E-2</v>
      </c>
      <c r="R50" s="182"/>
      <c r="S50" s="161"/>
      <c r="T50" s="161"/>
      <c r="U50" s="150">
        <f t="shared" si="6"/>
        <v>9.6336223373668053E-8</v>
      </c>
      <c r="V50" s="150">
        <f t="shared" si="7"/>
        <v>5.206794651333517E-2</v>
      </c>
      <c r="W50" s="150">
        <f t="shared" si="8"/>
        <v>5.2220645597306145E-2</v>
      </c>
      <c r="X50" s="150">
        <f t="shared" si="9"/>
        <v>4.0480577397838686E-3</v>
      </c>
      <c r="Y50" s="150"/>
      <c r="AI50" s="148">
        <f t="shared" si="15"/>
        <v>27.339834848553501</v>
      </c>
      <c r="AJ50" s="148">
        <f t="shared" si="16"/>
        <v>12070.299686446704</v>
      </c>
    </row>
    <row r="51" spans="1:36" s="148" customFormat="1" x14ac:dyDescent="0.2">
      <c r="A51" s="148" t="s">
        <v>384</v>
      </c>
      <c r="B51" s="148">
        <f t="shared" si="24"/>
        <v>54.212932666586966</v>
      </c>
      <c r="C51" s="148">
        <f>[2]Sorted_Checked!$T$165</f>
        <v>53.575537003748202</v>
      </c>
      <c r="D51" s="148">
        <f>[2]Sorted_Checked!$T$166</f>
        <v>53.9293297633983</v>
      </c>
      <c r="E51" s="148">
        <f>[2]Sorted_Checked!$T$167</f>
        <v>55.133931232614401</v>
      </c>
      <c r="F51" s="148">
        <f t="shared" si="31"/>
        <v>54.212932666586966</v>
      </c>
      <c r="G51" s="148">
        <f t="shared" si="10"/>
        <v>0.81698904409034101</v>
      </c>
      <c r="I51" s="1">
        <f t="shared" si="26"/>
        <v>1.0169885398322138</v>
      </c>
      <c r="J51" s="154">
        <f t="shared" si="12"/>
        <v>4000</v>
      </c>
      <c r="L51" s="150">
        <v>4000</v>
      </c>
      <c r="M51" s="150"/>
      <c r="N51" s="149">
        <f t="shared" si="32"/>
        <v>1.3393884250937051E-2</v>
      </c>
      <c r="O51" s="149">
        <f t="shared" si="33"/>
        <v>1.3482332440849575E-2</v>
      </c>
      <c r="P51" s="149">
        <f t="shared" si="34"/>
        <v>1.3783482808153601E-2</v>
      </c>
      <c r="Q51" s="161">
        <f t="shared" si="35"/>
        <v>1.3553233166646741E-2</v>
      </c>
      <c r="R51" s="182"/>
      <c r="S51" s="161"/>
      <c r="T51" s="161"/>
      <c r="U51" s="150">
        <f t="shared" si="6"/>
        <v>1.91027825151119E-7</v>
      </c>
      <c r="V51" s="150">
        <f t="shared" si="7"/>
        <v>0.10324700547941451</v>
      </c>
      <c r="W51" s="150">
        <f t="shared" si="8"/>
        <v>0.10500102134455834</v>
      </c>
      <c r="X51" s="150">
        <f t="shared" si="9"/>
        <v>8.0270083156325361E-3</v>
      </c>
      <c r="Y51" s="150"/>
      <c r="AI51" s="148">
        <f t="shared" si="15"/>
        <v>54.212932666586966</v>
      </c>
      <c r="AJ51" s="148">
        <f t="shared" si="16"/>
        <v>6087.1084401487979</v>
      </c>
    </row>
    <row r="52" spans="1:36" s="148" customFormat="1" x14ac:dyDescent="0.2">
      <c r="A52" s="148" t="s">
        <v>385</v>
      </c>
      <c r="B52" s="148">
        <f t="shared" si="24"/>
        <v>27.7772076144661</v>
      </c>
      <c r="C52" s="148">
        <f>[2]Sorted_Checked!$T$168</f>
        <v>27.7772076144661</v>
      </c>
      <c r="F52" s="148">
        <f t="shared" si="31"/>
        <v>27.7772076144661</v>
      </c>
      <c r="I52" s="1">
        <f>MAX(C52:F52)/B52</f>
        <v>1</v>
      </c>
      <c r="J52" s="154">
        <f t="shared" si="12"/>
        <v>700.00000000000011</v>
      </c>
      <c r="L52" s="150">
        <v>700</v>
      </c>
      <c r="M52" s="150"/>
      <c r="N52" s="149">
        <f t="shared" si="32"/>
        <v>3.9681725163522995E-2</v>
      </c>
      <c r="O52" s="149">
        <f t="shared" si="33"/>
        <v>0</v>
      </c>
      <c r="P52" s="149">
        <f t="shared" si="34"/>
        <v>0</v>
      </c>
      <c r="Q52" s="161">
        <f t="shared" si="35"/>
        <v>3.9681725163522995E-2</v>
      </c>
      <c r="R52" s="182"/>
      <c r="S52" s="161"/>
      <c r="T52" s="161"/>
      <c r="U52" s="150">
        <f t="shared" si="6"/>
        <v>9.7877375348722664E-8</v>
      </c>
      <c r="V52" s="150">
        <f t="shared" si="7"/>
        <v>5.2900910644540645E-2</v>
      </c>
      <c r="W52" s="150">
        <f t="shared" si="8"/>
        <v>5.2900910644540645E-2</v>
      </c>
      <c r="X52" s="150">
        <f t="shared" si="9"/>
        <v>4.1128170998908616E-3</v>
      </c>
      <c r="Y52" s="150"/>
      <c r="AI52" s="148">
        <f t="shared" si="15"/>
        <v>27.7772076144661</v>
      </c>
      <c r="AJ52" s="148">
        <f t="shared" si="16"/>
        <v>11880.243852450425</v>
      </c>
    </row>
    <row r="53" spans="1:36" x14ac:dyDescent="0.2">
      <c r="R53" s="183"/>
      <c r="AI53" s="148"/>
    </row>
    <row r="54" spans="1:36" x14ac:dyDescent="0.2">
      <c r="Q54" s="51"/>
      <c r="R54" s="51" t="s">
        <v>530</v>
      </c>
      <c r="S54" s="60">
        <f>AVERAGE(S8:S52)</f>
        <v>2.8873505849421282</v>
      </c>
      <c r="T54" s="51"/>
      <c r="AI54" s="148"/>
    </row>
    <row r="55" spans="1:36" x14ac:dyDescent="0.2">
      <c r="F55" s="1" t="s">
        <v>501</v>
      </c>
      <c r="M55" s="51" t="s">
        <v>503</v>
      </c>
      <c r="O55" s="51" t="s">
        <v>502</v>
      </c>
      <c r="P55" s="1"/>
      <c r="Q55" s="51"/>
      <c r="R55" s="51"/>
      <c r="S55" s="51"/>
      <c r="T55" s="51"/>
      <c r="AI55" s="148"/>
    </row>
    <row r="56" spans="1:36" x14ac:dyDescent="0.25">
      <c r="C56" s="1" t="s">
        <v>483</v>
      </c>
      <c r="E56" s="1" t="s">
        <v>484</v>
      </c>
      <c r="F56" s="1" t="s">
        <v>491</v>
      </c>
      <c r="L56" s="1" t="s">
        <v>485</v>
      </c>
      <c r="M56" s="87" t="s">
        <v>486</v>
      </c>
      <c r="N56" s="1" t="s">
        <v>485</v>
      </c>
      <c r="O56" s="87" t="s">
        <v>486</v>
      </c>
      <c r="P56" s="1"/>
      <c r="Q56" s="1"/>
      <c r="R56" s="1"/>
      <c r="S56" s="1"/>
      <c r="T56" s="1"/>
      <c r="V56" s="51" t="s">
        <v>496</v>
      </c>
      <c r="X56" s="1" t="s">
        <v>497</v>
      </c>
      <c r="AI56" s="148"/>
    </row>
    <row r="57" spans="1:36" x14ac:dyDescent="0.2">
      <c r="C57" s="1" t="s">
        <v>473</v>
      </c>
      <c r="F57" s="1">
        <v>5300</v>
      </c>
      <c r="K57" s="51" t="s">
        <v>490</v>
      </c>
      <c r="L57" s="1">
        <v>500</v>
      </c>
      <c r="M57" s="158">
        <f>(F57*$M$64*$B$1)/($L57*10^(-3))</f>
        <v>10.6</v>
      </c>
      <c r="N57" s="174">
        <v>1500</v>
      </c>
      <c r="O57" s="158">
        <f>(F57*$O$64*$B$1)/($N57*10^(-3))</f>
        <v>1.0599999999999998</v>
      </c>
      <c r="P57" s="1"/>
      <c r="Q57" s="1"/>
      <c r="R57" s="1"/>
      <c r="S57" s="1"/>
      <c r="T57" s="1"/>
      <c r="U57" s="150">
        <f>F57*10^(-6)/$N$2</f>
        <v>1.8675386545264909E-5</v>
      </c>
      <c r="V57" s="150">
        <f>U57*$D$2*10^(-6)*$P$2*$I$2*10^9</f>
        <v>10.093700933064596</v>
      </c>
      <c r="W57" s="51" t="s">
        <v>498</v>
      </c>
      <c r="Y57" s="1"/>
    </row>
    <row r="58" spans="1:36" x14ac:dyDescent="0.2">
      <c r="C58" s="1" t="s">
        <v>475</v>
      </c>
      <c r="E58" s="1">
        <v>5.05</v>
      </c>
      <c r="F58" s="1">
        <f>F57*E58</f>
        <v>26765</v>
      </c>
      <c r="K58" s="51" t="s">
        <v>488</v>
      </c>
      <c r="L58" s="1">
        <v>2500</v>
      </c>
      <c r="M58" s="158">
        <f>(F58*$M$64*$B$1)/($L58*10^(-3))</f>
        <v>10.706</v>
      </c>
      <c r="N58" s="1">
        <v>8000</v>
      </c>
      <c r="O58" s="158">
        <f>(F58*$O$64*$B$1)/($N58*10^(-3))</f>
        <v>1.0036874999999998</v>
      </c>
      <c r="P58" s="51">
        <f t="shared" ref="P58" si="36">N58/$N$57</f>
        <v>5.333333333333333</v>
      </c>
      <c r="Q58" s="1"/>
      <c r="R58" s="1"/>
      <c r="S58" s="1"/>
      <c r="T58" s="1"/>
      <c r="U58" s="150">
        <f>F58*10^(-6)/$N$2</f>
        <v>9.4310702053587787E-5</v>
      </c>
      <c r="W58" s="51" t="s">
        <v>500</v>
      </c>
      <c r="X58" s="150">
        <f>U58*$D$2*10^(-6)*$P$1*$K$2*10^9</f>
        <v>10.030791959717542</v>
      </c>
      <c r="Y58" s="1"/>
    </row>
    <row r="59" spans="1:36" x14ac:dyDescent="0.2">
      <c r="C59" s="1" t="s">
        <v>505</v>
      </c>
      <c r="E59" s="1">
        <v>25</v>
      </c>
      <c r="F59" s="1">
        <f>F57*E59</f>
        <v>132500</v>
      </c>
      <c r="K59" s="51" t="s">
        <v>508</v>
      </c>
      <c r="L59" s="1">
        <v>285000</v>
      </c>
      <c r="M59" s="158">
        <f>(F59*$M$64*$B$1)/($L59*10^(-3))</f>
        <v>0.46491228070175439</v>
      </c>
      <c r="N59" s="174">
        <v>40000</v>
      </c>
      <c r="O59" s="158">
        <f>(F59*$O$64*$B$1)/($N59*10^(-3))</f>
        <v>0.99375000000000002</v>
      </c>
      <c r="P59" s="51">
        <f>N59/$N$57</f>
        <v>26.666666666666668</v>
      </c>
      <c r="Q59" s="1"/>
      <c r="R59" s="1"/>
      <c r="S59" s="1"/>
      <c r="T59" s="1"/>
      <c r="U59" s="150">
        <f>F59*10^(-6)/$N$2</f>
        <v>4.6688466363162273E-4</v>
      </c>
      <c r="W59" s="51" t="s">
        <v>506</v>
      </c>
      <c r="X59" s="150">
        <f>U59*$D$2*10^(-6)*$P$3*$L$2*10^9</f>
        <v>31.059054038816619</v>
      </c>
      <c r="Y59" s="1"/>
    </row>
    <row r="60" spans="1:36" x14ac:dyDescent="0.2">
      <c r="C60" s="1" t="s">
        <v>474</v>
      </c>
      <c r="E60" s="1">
        <v>38.5</v>
      </c>
      <c r="F60" s="1">
        <f>F57*E60</f>
        <v>204050</v>
      </c>
      <c r="K60" s="51" t="s">
        <v>489</v>
      </c>
      <c r="L60" s="1">
        <v>20000</v>
      </c>
      <c r="M60" s="158">
        <f>(F60*$M$64*$B$1)/($L60*10^(-3))</f>
        <v>10.202500000000001</v>
      </c>
      <c r="N60" s="1">
        <v>56000</v>
      </c>
      <c r="O60" s="158">
        <f>(F60*$O$64*$B$1)/($N60*10^(-3))</f>
        <v>1.0931249999999999</v>
      </c>
      <c r="P60" s="51">
        <f>N60/$N$57</f>
        <v>37.333333333333336</v>
      </c>
      <c r="Q60" s="1"/>
      <c r="R60" s="1"/>
      <c r="S60" s="1"/>
      <c r="T60" s="1"/>
      <c r="U60" s="150">
        <f>F60*10^(-6)/$N$2</f>
        <v>7.1900238199269892E-4</v>
      </c>
      <c r="V60" s="1"/>
      <c r="W60" s="51" t="s">
        <v>499</v>
      </c>
      <c r="X60" s="150">
        <f>U60*$D$2*10^(-6)*$P$1*$J$2*10^9</f>
        <v>30.212551991571402</v>
      </c>
    </row>
    <row r="62" spans="1:36" x14ac:dyDescent="0.2">
      <c r="M62" s="51" t="s">
        <v>504</v>
      </c>
      <c r="O62" s="51" t="s">
        <v>495</v>
      </c>
      <c r="U62" s="150"/>
      <c r="X62" s="51"/>
    </row>
    <row r="63" spans="1:36" x14ac:dyDescent="0.2">
      <c r="M63" s="51" t="s">
        <v>494</v>
      </c>
      <c r="O63" s="51" t="s">
        <v>494</v>
      </c>
      <c r="U63" s="150"/>
      <c r="X63" s="51"/>
    </row>
    <row r="64" spans="1:36" x14ac:dyDescent="0.2">
      <c r="M64" s="51">
        <f>B3</f>
        <v>1E-3</v>
      </c>
      <c r="O64" s="51">
        <v>2.9999999999999997E-4</v>
      </c>
      <c r="U64" s="150"/>
      <c r="X64" s="51"/>
    </row>
    <row r="65" spans="10:24" x14ac:dyDescent="0.2">
      <c r="U65" s="150"/>
      <c r="X65" s="51"/>
    </row>
    <row r="66" spans="10:24" x14ac:dyDescent="0.2">
      <c r="J66" s="5"/>
      <c r="K66" s="5"/>
      <c r="L66" s="9"/>
      <c r="P66" s="49" t="s">
        <v>153</v>
      </c>
      <c r="Q66" s="120">
        <f>AVERAGE(Q8:Q29)</f>
        <v>5.4940952737603235</v>
      </c>
      <c r="R66" s="120"/>
      <c r="S66" s="120"/>
      <c r="T66" s="120"/>
    </row>
    <row r="67" spans="10:24" x14ac:dyDescent="0.2">
      <c r="P67" s="49" t="s">
        <v>154</v>
      </c>
      <c r="Q67" s="55">
        <f>STDEVA(Q8:Q29)</f>
        <v>6.6491689767751279</v>
      </c>
      <c r="R67" s="55"/>
      <c r="S67" s="55"/>
      <c r="T67" s="55"/>
    </row>
    <row r="68" spans="10:24" x14ac:dyDescent="0.2">
      <c r="P68" s="49" t="s">
        <v>155</v>
      </c>
      <c r="Q68" s="55">
        <f>MIN(Q8:Q29)</f>
        <v>2.1934116503931549E-2</v>
      </c>
      <c r="R68" s="55"/>
      <c r="S68" s="55"/>
      <c r="T68" s="55"/>
    </row>
    <row r="69" spans="10:24" x14ac:dyDescent="0.2">
      <c r="P69" s="49" t="s">
        <v>156</v>
      </c>
      <c r="Q69" s="55">
        <f>MAX(Q8:Q29)</f>
        <v>26.736702112544521</v>
      </c>
      <c r="R69" s="55"/>
      <c r="S69" s="55"/>
      <c r="T69" s="55"/>
    </row>
  </sheetData>
  <autoFilter ref="A7:V49">
    <filterColumn colId="9" showButton="0"/>
  </autoFilter>
  <sortState ref="J3:K29">
    <sortCondition ref="J3"/>
  </sortState>
  <mergeCells count="1">
    <mergeCell ref="A6:A7"/>
  </mergeCells>
  <conditionalFormatting sqref="W8:X52 V57 X58:X60 AA17:AA18 AB19">
    <cfRule type="cellIs" dxfId="100" priority="84" operator="lessThan">
      <formula>30</formula>
    </cfRule>
  </conditionalFormatting>
  <conditionalFormatting sqref="W8:W52 V57 X58:X60 AA17:AA18 AB19">
    <cfRule type="cellIs" dxfId="99" priority="81" operator="between">
      <formula>5</formula>
      <formula>9.5</formula>
    </cfRule>
    <cfRule type="cellIs" dxfId="98" priority="82" operator="greaterThan">
      <formula>9</formula>
    </cfRule>
    <cfRule type="cellIs" dxfId="97" priority="83" operator="lessThan">
      <formula>5</formula>
    </cfRule>
  </conditionalFormatting>
  <conditionalFormatting sqref="Y18">
    <cfRule type="cellIs" dxfId="96" priority="80" operator="lessThan">
      <formula>30</formula>
    </cfRule>
  </conditionalFormatting>
  <conditionalFormatting sqref="Y18">
    <cfRule type="cellIs" dxfId="95" priority="77" operator="between">
      <formula>5</formula>
      <formula>9.5</formula>
    </cfRule>
    <cfRule type="cellIs" dxfId="94" priority="78" operator="greaterThan">
      <formula>9</formula>
    </cfRule>
    <cfRule type="cellIs" dxfId="93" priority="79" operator="lessThan">
      <formula>5</formula>
    </cfRule>
  </conditionalFormatting>
  <conditionalFormatting sqref="Y19">
    <cfRule type="cellIs" dxfId="92" priority="76" operator="lessThan">
      <formula>30</formula>
    </cfRule>
  </conditionalFormatting>
  <conditionalFormatting sqref="Y19">
    <cfRule type="cellIs" dxfId="91" priority="73" operator="between">
      <formula>5</formula>
      <formula>9.5</formula>
    </cfRule>
    <cfRule type="cellIs" dxfId="90" priority="74" operator="greaterThan">
      <formula>9</formula>
    </cfRule>
    <cfRule type="cellIs" dxfId="89" priority="75" operator="lessThan">
      <formula>5</formula>
    </cfRule>
  </conditionalFormatting>
  <conditionalFormatting sqref="Y23:Y24">
    <cfRule type="cellIs" dxfId="88" priority="72" operator="lessThan">
      <formula>30</formula>
    </cfRule>
  </conditionalFormatting>
  <conditionalFormatting sqref="Y23:Y24">
    <cfRule type="cellIs" dxfId="87" priority="69" operator="between">
      <formula>5</formula>
      <formula>9.5</formula>
    </cfRule>
    <cfRule type="cellIs" dxfId="86" priority="70" operator="greaterThan">
      <formula>9</formula>
    </cfRule>
    <cfRule type="cellIs" dxfId="85" priority="71" operator="lessThan">
      <formula>5</formula>
    </cfRule>
  </conditionalFormatting>
  <conditionalFormatting sqref="Y30:Y31">
    <cfRule type="cellIs" dxfId="84" priority="68" operator="lessThan">
      <formula>30</formula>
    </cfRule>
  </conditionalFormatting>
  <conditionalFormatting sqref="Y30:Y31">
    <cfRule type="cellIs" dxfId="83" priority="65" operator="between">
      <formula>5</formula>
      <formula>9.5</formula>
    </cfRule>
    <cfRule type="cellIs" dxfId="82" priority="66" operator="greaterThan">
      <formula>9</formula>
    </cfRule>
    <cfRule type="cellIs" dxfId="81" priority="67" operator="lessThan">
      <formula>5</formula>
    </cfRule>
  </conditionalFormatting>
  <conditionalFormatting sqref="Y34:Y36">
    <cfRule type="cellIs" dxfId="80" priority="64" operator="lessThan">
      <formula>30</formula>
    </cfRule>
  </conditionalFormatting>
  <conditionalFormatting sqref="Y34:Y36">
    <cfRule type="cellIs" dxfId="79" priority="61" operator="between">
      <formula>5</formula>
      <formula>9.5</formula>
    </cfRule>
    <cfRule type="cellIs" dxfId="78" priority="62" operator="greaterThan">
      <formula>9</formula>
    </cfRule>
    <cfRule type="cellIs" dxfId="77" priority="63" operator="lessThan">
      <formula>5</formula>
    </cfRule>
  </conditionalFormatting>
  <conditionalFormatting sqref="Y42">
    <cfRule type="cellIs" dxfId="76" priority="60" operator="lessThan">
      <formula>30</formula>
    </cfRule>
  </conditionalFormatting>
  <conditionalFormatting sqref="Y42">
    <cfRule type="cellIs" dxfId="75" priority="57" operator="between">
      <formula>5</formula>
      <formula>9.5</formula>
    </cfRule>
    <cfRule type="cellIs" dxfId="74" priority="58" operator="greaterThan">
      <formula>9</formula>
    </cfRule>
    <cfRule type="cellIs" dxfId="73" priority="59" operator="lessThan">
      <formula>5</formula>
    </cfRule>
  </conditionalFormatting>
  <conditionalFormatting sqref="Y44">
    <cfRule type="cellIs" dxfId="72" priority="56" operator="lessThan">
      <formula>30</formula>
    </cfRule>
  </conditionalFormatting>
  <conditionalFormatting sqref="Y44">
    <cfRule type="cellIs" dxfId="71" priority="53" operator="between">
      <formula>5</formula>
      <formula>9.5</formula>
    </cfRule>
    <cfRule type="cellIs" dxfId="70" priority="54" operator="greaterThan">
      <formula>9</formula>
    </cfRule>
    <cfRule type="cellIs" dxfId="69" priority="55" operator="lessThan">
      <formula>5</formula>
    </cfRule>
  </conditionalFormatting>
  <conditionalFormatting sqref="AA12">
    <cfRule type="cellIs" dxfId="68" priority="48" operator="lessThan">
      <formula>30</formula>
    </cfRule>
  </conditionalFormatting>
  <conditionalFormatting sqref="AA12">
    <cfRule type="cellIs" dxfId="67" priority="45" operator="between">
      <formula>5</formula>
      <formula>9.5</formula>
    </cfRule>
    <cfRule type="cellIs" dxfId="66" priority="46" operator="greaterThan">
      <formula>9</formula>
    </cfRule>
    <cfRule type="cellIs" dxfId="65" priority="47" operator="lessThan">
      <formula>5</formula>
    </cfRule>
  </conditionalFormatting>
  <conditionalFormatting sqref="AA15">
    <cfRule type="cellIs" dxfId="64" priority="44" operator="lessThan">
      <formula>30</formula>
    </cfRule>
  </conditionalFormatting>
  <conditionalFormatting sqref="AA15">
    <cfRule type="cellIs" dxfId="63" priority="41" operator="between">
      <formula>5</formula>
      <formula>9.5</formula>
    </cfRule>
    <cfRule type="cellIs" dxfId="62" priority="42" operator="greaterThan">
      <formula>9</formula>
    </cfRule>
    <cfRule type="cellIs" dxfId="61" priority="43" operator="lessThan">
      <formula>5</formula>
    </cfRule>
  </conditionalFormatting>
  <conditionalFormatting sqref="AB24">
    <cfRule type="cellIs" dxfId="60" priority="36" operator="lessThan">
      <formula>30</formula>
    </cfRule>
  </conditionalFormatting>
  <conditionalFormatting sqref="AB24">
    <cfRule type="cellIs" dxfId="59" priority="33" operator="between">
      <formula>5</formula>
      <formula>9.5</formula>
    </cfRule>
    <cfRule type="cellIs" dxfId="58" priority="34" operator="greaterThan">
      <formula>9</formula>
    </cfRule>
    <cfRule type="cellIs" dxfId="57" priority="35" operator="lessThan">
      <formula>5</formula>
    </cfRule>
  </conditionalFormatting>
  <conditionalFormatting sqref="AA26">
    <cfRule type="cellIs" dxfId="56" priority="32" operator="lessThan">
      <formula>30</formula>
    </cfRule>
  </conditionalFormatting>
  <conditionalFormatting sqref="AA26">
    <cfRule type="cellIs" dxfId="55" priority="29" operator="between">
      <formula>5</formula>
      <formula>9.5</formula>
    </cfRule>
    <cfRule type="cellIs" dxfId="54" priority="30" operator="greaterThan">
      <formula>9</formula>
    </cfRule>
    <cfRule type="cellIs" dxfId="53" priority="31" operator="lessThan">
      <formula>5</formula>
    </cfRule>
  </conditionalFormatting>
  <conditionalFormatting sqref="AB30">
    <cfRule type="cellIs" dxfId="52" priority="28" operator="lessThan">
      <formula>30</formula>
    </cfRule>
  </conditionalFormatting>
  <conditionalFormatting sqref="AB30">
    <cfRule type="cellIs" dxfId="51" priority="25" operator="between">
      <formula>5</formula>
      <formula>9.5</formula>
    </cfRule>
    <cfRule type="cellIs" dxfId="50" priority="26" operator="greaterThan">
      <formula>9</formula>
    </cfRule>
    <cfRule type="cellIs" dxfId="49" priority="27" operator="lessThan">
      <formula>5</formula>
    </cfRule>
  </conditionalFormatting>
  <conditionalFormatting sqref="AA32">
    <cfRule type="cellIs" dxfId="48" priority="20" operator="lessThan">
      <formula>30</formula>
    </cfRule>
  </conditionalFormatting>
  <conditionalFormatting sqref="AA32">
    <cfRule type="cellIs" dxfId="47" priority="17" operator="between">
      <formula>5</formula>
      <formula>9.5</formula>
    </cfRule>
    <cfRule type="cellIs" dxfId="46" priority="18" operator="greaterThan">
      <formula>9</formula>
    </cfRule>
    <cfRule type="cellIs" dxfId="45" priority="19" operator="lessThan">
      <formula>5</formula>
    </cfRule>
  </conditionalFormatting>
  <conditionalFormatting sqref="AA33">
    <cfRule type="cellIs" dxfId="44" priority="16" operator="lessThan">
      <formula>30</formula>
    </cfRule>
  </conditionalFormatting>
  <conditionalFormatting sqref="AA33">
    <cfRule type="cellIs" dxfId="43" priority="13" operator="between">
      <formula>5</formula>
      <formula>9.5</formula>
    </cfRule>
    <cfRule type="cellIs" dxfId="42" priority="14" operator="greaterThan">
      <formula>9</formula>
    </cfRule>
    <cfRule type="cellIs" dxfId="41" priority="15" operator="lessThan">
      <formula>5</formula>
    </cfRule>
  </conditionalFormatting>
  <conditionalFormatting sqref="AA35">
    <cfRule type="cellIs" dxfId="40" priority="12" operator="lessThan">
      <formula>30</formula>
    </cfRule>
  </conditionalFormatting>
  <conditionalFormatting sqref="AA35">
    <cfRule type="cellIs" dxfId="39" priority="9" operator="between">
      <formula>5</formula>
      <formula>9.5</formula>
    </cfRule>
    <cfRule type="cellIs" dxfId="38" priority="10" operator="greaterThan">
      <formula>9</formula>
    </cfRule>
    <cfRule type="cellIs" dxfId="37" priority="11" operator="lessThan">
      <formula>5</formula>
    </cfRule>
  </conditionalFormatting>
  <conditionalFormatting sqref="AA37">
    <cfRule type="cellIs" dxfId="36" priority="8" operator="lessThan">
      <formula>30</formula>
    </cfRule>
  </conditionalFormatting>
  <conditionalFormatting sqref="AA37">
    <cfRule type="cellIs" dxfId="35" priority="5" operator="between">
      <formula>5</formula>
      <formula>9.5</formula>
    </cfRule>
    <cfRule type="cellIs" dxfId="34" priority="6" operator="greaterThan">
      <formula>9</formula>
    </cfRule>
    <cfRule type="cellIs" dxfId="33" priority="7" operator="lessThan">
      <formula>5</formula>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81"/>
  <sheetViews>
    <sheetView zoomScale="85" zoomScaleNormal="85" zoomScalePageLayoutView="85" workbookViewId="0">
      <pane xSplit="12" ySplit="10" topLeftCell="M11" activePane="bottomRight" state="frozen"/>
      <selection pane="topRight" activeCell="M1" sqref="M1"/>
      <selection pane="bottomLeft" activeCell="A11" sqref="A11"/>
      <selection pane="bottomRight" activeCell="F31" sqref="F31"/>
    </sheetView>
  </sheetViews>
  <sheetFormatPr baseColWidth="10" defaultColWidth="10.85546875" defaultRowHeight="15" outlineLevelCol="1" x14ac:dyDescent="0.25"/>
  <cols>
    <col min="1" max="1" width="18.140625" style="1" bestFit="1" customWidth="1"/>
    <col min="2" max="2" width="12.140625" style="1" customWidth="1"/>
    <col min="3" max="3" width="14.85546875" style="1" customWidth="1"/>
    <col min="4" max="4" width="13.42578125" style="1" customWidth="1"/>
    <col min="5" max="5" width="12.140625" style="1" customWidth="1"/>
    <col min="6" max="6" width="15.85546875" style="1" customWidth="1"/>
    <col min="7" max="7" width="12.85546875" style="1" bestFit="1" customWidth="1"/>
    <col min="8" max="11" width="13.85546875" style="1" customWidth="1"/>
    <col min="12" max="12" width="13.85546875" style="51" customWidth="1" outlineLevel="1"/>
    <col min="13" max="14" width="13.85546875" style="1" customWidth="1" outlineLevel="1"/>
    <col min="15" max="15" width="12.42578125" style="1" customWidth="1" outlineLevel="1"/>
    <col min="16" max="16" width="18.140625" style="1" bestFit="1" customWidth="1"/>
    <col min="17" max="17" width="10.85546875" style="1"/>
    <col min="18" max="18" width="12" style="1" bestFit="1" customWidth="1"/>
    <col min="19" max="24" width="13.42578125" style="1" customWidth="1"/>
    <col min="25" max="25" width="13" style="1" customWidth="1"/>
    <col min="26" max="26" width="18.42578125" style="30" customWidth="1"/>
    <col min="27" max="27" width="27.85546875" style="1" bestFit="1" customWidth="1"/>
    <col min="28" max="28" width="12.42578125" style="1" bestFit="1" customWidth="1"/>
    <col min="29" max="30" width="8.85546875" style="1" customWidth="1"/>
    <col min="32" max="32" width="15.85546875" style="1" customWidth="1"/>
    <col min="33" max="33" width="10.85546875" style="1"/>
    <col min="34" max="34" width="16.140625" customWidth="1"/>
    <col min="35" max="35" width="8.42578125" style="1" customWidth="1"/>
    <col min="36" max="39" width="10.85546875" style="1"/>
    <col min="40" max="44" width="13.85546875" style="1" customWidth="1"/>
    <col min="45" max="45" width="19" style="1" bestFit="1" customWidth="1"/>
    <col min="46" max="47" width="10.85546875" style="1"/>
    <col min="48" max="48" width="15.140625" style="1" bestFit="1" customWidth="1"/>
    <col min="49" max="52" width="10.85546875" style="1"/>
    <col min="53" max="53" width="16.5703125" style="1" customWidth="1"/>
    <col min="54" max="16384" width="10.85546875" style="1"/>
  </cols>
  <sheetData>
    <row r="1" spans="1:198 13812:16384" x14ac:dyDescent="0.2">
      <c r="A1" s="16" t="s">
        <v>113</v>
      </c>
      <c r="B1" s="212">
        <f>1/0.24</f>
        <v>4.166666666666667</v>
      </c>
      <c r="C1" t="s">
        <v>477</v>
      </c>
      <c r="D1" t="s">
        <v>478</v>
      </c>
      <c r="E1" s="51" t="s">
        <v>436</v>
      </c>
      <c r="F1" s="51" t="s">
        <v>481</v>
      </c>
      <c r="G1" s="51" t="s">
        <v>507</v>
      </c>
      <c r="I1" t="s">
        <v>149</v>
      </c>
      <c r="J1" s="51" t="s">
        <v>476</v>
      </c>
      <c r="K1" s="51" t="s">
        <v>523</v>
      </c>
      <c r="N1" s="211" t="s">
        <v>447</v>
      </c>
      <c r="O1" s="29" t="s">
        <v>446</v>
      </c>
      <c r="P1" s="6"/>
      <c r="Q1" s="6"/>
      <c r="S1" s="6"/>
      <c r="T1" s="6"/>
      <c r="U1" s="6"/>
      <c r="V1" s="6"/>
      <c r="W1" s="6"/>
      <c r="X1" s="6"/>
      <c r="AA1" s="6"/>
      <c r="AB1" s="6"/>
    </row>
    <row r="2" spans="1:198 13812:16384" x14ac:dyDescent="0.25">
      <c r="A2" s="16" t="s">
        <v>114</v>
      </c>
      <c r="B2" s="16">
        <v>1000</v>
      </c>
      <c r="C2" s="9">
        <v>283.79599999999999</v>
      </c>
      <c r="D2" s="27">
        <v>12.0107</v>
      </c>
      <c r="E2" s="51">
        <v>14.0067</v>
      </c>
      <c r="F2" s="51">
        <v>35.453000000000003</v>
      </c>
      <c r="G2" s="51">
        <v>1.0079400000000001</v>
      </c>
      <c r="I2" s="9">
        <v>15</v>
      </c>
      <c r="J2">
        <v>1</v>
      </c>
      <c r="K2" s="51">
        <v>22</v>
      </c>
    </row>
    <row r="3" spans="1:198 13812:16384" x14ac:dyDescent="0.2">
      <c r="A3" s="16" t="s">
        <v>116</v>
      </c>
      <c r="B3" s="16">
        <f>B2*(10^(-6))</f>
        <v>1E-3</v>
      </c>
      <c r="D3"/>
      <c r="H3" s="15"/>
      <c r="I3" s="15"/>
      <c r="K3" s="15"/>
    </row>
    <row r="4" spans="1:198 13812:16384" x14ac:dyDescent="0.25">
      <c r="A4" s="16"/>
      <c r="B4" s="16"/>
      <c r="D4" t="s">
        <v>521</v>
      </c>
      <c r="H4" s="15"/>
      <c r="I4" s="15"/>
      <c r="K4" s="15"/>
    </row>
    <row r="5" spans="1:198 13812:16384" x14ac:dyDescent="0.2">
      <c r="A5" s="16"/>
      <c r="B5" s="16"/>
      <c r="D5" s="51">
        <v>3</v>
      </c>
      <c r="E5" s="51"/>
      <c r="F5"/>
      <c r="H5" s="15"/>
      <c r="I5" s="15"/>
      <c r="J5" s="15"/>
      <c r="K5" s="15"/>
    </row>
    <row r="6" spans="1:198 13812:16384" x14ac:dyDescent="0.2">
      <c r="A6" s="16" t="s">
        <v>562</v>
      </c>
      <c r="B6" s="212">
        <f>AVERAGE(M17:M61)</f>
        <v>0.43972887993942883</v>
      </c>
      <c r="D6"/>
      <c r="E6" s="51"/>
      <c r="F6"/>
      <c r="H6" s="15"/>
      <c r="I6" s="15"/>
      <c r="J6" s="15"/>
      <c r="K6" s="15"/>
    </row>
    <row r="7" spans="1:198 13812:16384" x14ac:dyDescent="0.2">
      <c r="A7" s="16" t="s">
        <v>563</v>
      </c>
      <c r="B7" s="212">
        <f>STDEVA(M17:M61)</f>
        <v>0.17190600110810253</v>
      </c>
      <c r="D7"/>
      <c r="E7" s="51"/>
      <c r="F7"/>
      <c r="H7" s="15"/>
      <c r="I7" s="15"/>
      <c r="J7" s="15"/>
      <c r="K7" s="15"/>
    </row>
    <row r="8" spans="1:198 13812:16384" x14ac:dyDescent="0.25">
      <c r="D8" t="s">
        <v>157</v>
      </c>
      <c r="Q8" s="1" t="s">
        <v>438</v>
      </c>
    </row>
    <row r="9" spans="1:198 13812:16384" s="146" customFormat="1" ht="45" x14ac:dyDescent="0.25">
      <c r="A9" s="143" t="s">
        <v>0</v>
      </c>
      <c r="B9" s="144" t="s">
        <v>1</v>
      </c>
      <c r="C9" s="144" t="s">
        <v>1</v>
      </c>
      <c r="D9" s="144" t="s">
        <v>1</v>
      </c>
      <c r="E9" s="144" t="s">
        <v>1</v>
      </c>
      <c r="F9" s="144" t="s">
        <v>1</v>
      </c>
      <c r="G9" s="144" t="s">
        <v>1</v>
      </c>
      <c r="H9" s="144" t="s">
        <v>1</v>
      </c>
      <c r="I9" s="144"/>
      <c r="J9" s="144"/>
      <c r="K9" s="144"/>
      <c r="L9" s="144" t="s">
        <v>1</v>
      </c>
      <c r="M9" s="144" t="s">
        <v>510</v>
      </c>
      <c r="N9" s="144" t="s">
        <v>117</v>
      </c>
      <c r="O9" s="138" t="s">
        <v>158</v>
      </c>
      <c r="P9" s="144" t="s">
        <v>120</v>
      </c>
      <c r="Q9" s="144" t="s">
        <v>120</v>
      </c>
      <c r="R9" s="144" t="s">
        <v>120</v>
      </c>
      <c r="S9" s="144" t="s">
        <v>120</v>
      </c>
      <c r="T9" s="140" t="s">
        <v>456</v>
      </c>
      <c r="U9" s="140" t="s">
        <v>457</v>
      </c>
      <c r="V9" s="140" t="s">
        <v>458</v>
      </c>
      <c r="W9" s="140" t="s">
        <v>459</v>
      </c>
      <c r="X9" s="140" t="s">
        <v>460</v>
      </c>
      <c r="Y9" s="139"/>
      <c r="Z9" s="144" t="s">
        <v>120</v>
      </c>
      <c r="AA9" s="144">
        <f>MEDIAN(AA17:AA26,AA32:AA43,AA47:AA57,AA28:AA29,AA59)</f>
        <v>0.10176181761407965</v>
      </c>
      <c r="AB9" s="145" t="s">
        <v>150</v>
      </c>
      <c r="AC9" s="145" t="s">
        <v>514</v>
      </c>
      <c r="AD9" s="145" t="s">
        <v>515</v>
      </c>
      <c r="AH9" s="145" t="s">
        <v>512</v>
      </c>
      <c r="AI9" s="176" t="s">
        <v>513</v>
      </c>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TKF9" s="1"/>
      <c r="TKG9" s="1"/>
      <c r="TKH9" s="1"/>
      <c r="TKI9" s="1"/>
      <c r="TKJ9" s="1"/>
      <c r="TKK9" s="1"/>
      <c r="TKL9" s="1"/>
      <c r="TKM9" s="1"/>
      <c r="TKN9" s="1"/>
      <c r="TKO9" s="1"/>
      <c r="TKP9" s="1"/>
      <c r="TKQ9" s="1"/>
      <c r="TKR9" s="1"/>
      <c r="TKS9" s="1"/>
      <c r="TKT9" s="1"/>
      <c r="TKU9" s="1"/>
      <c r="TKV9" s="1"/>
      <c r="TKW9" s="1"/>
      <c r="TKX9" s="1"/>
      <c r="TKY9" s="1"/>
      <c r="TKZ9" s="1"/>
      <c r="TLA9" s="1"/>
      <c r="TLB9" s="1"/>
      <c r="TLC9" s="1"/>
      <c r="TLD9" s="1"/>
      <c r="TLE9" s="1"/>
      <c r="TLF9" s="1"/>
      <c r="TLG9" s="1"/>
      <c r="TLH9" s="1"/>
      <c r="TLI9" s="1"/>
      <c r="TLJ9" s="1"/>
      <c r="TLK9" s="1"/>
      <c r="TLL9" s="1"/>
      <c r="TLM9" s="1"/>
      <c r="TLN9" s="1"/>
      <c r="TLO9" s="1"/>
      <c r="TLP9" s="1"/>
      <c r="TLQ9" s="1"/>
      <c r="TLR9" s="1"/>
      <c r="TLS9" s="1"/>
      <c r="TLT9" s="1"/>
      <c r="TLU9" s="1"/>
      <c r="TLV9" s="1"/>
      <c r="TLW9" s="1"/>
      <c r="TLX9" s="1"/>
      <c r="TLY9" s="1"/>
      <c r="TLZ9" s="1"/>
      <c r="TMA9" s="1"/>
      <c r="TMB9" s="1"/>
      <c r="TMC9" s="1"/>
      <c r="TMD9" s="1"/>
      <c r="TME9" s="1"/>
      <c r="TMF9" s="1"/>
      <c r="TMG9" s="1"/>
      <c r="TMH9" s="1"/>
      <c r="TMI9" s="1"/>
      <c r="TMJ9" s="1"/>
      <c r="TMK9" s="1"/>
      <c r="TML9" s="1"/>
      <c r="TMM9" s="1"/>
      <c r="TMN9" s="1"/>
      <c r="TMO9" s="1"/>
      <c r="TMP9" s="1"/>
      <c r="TMQ9" s="1"/>
      <c r="TMR9" s="1"/>
      <c r="TMS9" s="1"/>
      <c r="TMT9" s="1"/>
      <c r="TMU9" s="1"/>
      <c r="TMV9" s="1"/>
      <c r="TMW9" s="1"/>
      <c r="TMX9" s="1"/>
      <c r="TMY9" s="1"/>
      <c r="TMZ9" s="1"/>
      <c r="TNA9" s="1"/>
      <c r="TNB9" s="1"/>
      <c r="TNC9" s="1"/>
      <c r="TND9" s="1"/>
      <c r="TNE9" s="1"/>
      <c r="TNF9" s="1"/>
      <c r="TNG9" s="1"/>
      <c r="TNH9" s="1"/>
      <c r="TNI9" s="1"/>
      <c r="TNJ9" s="1"/>
      <c r="TNK9" s="1"/>
      <c r="TNL9" s="1"/>
      <c r="TNM9" s="1"/>
      <c r="TNN9" s="1"/>
      <c r="TNO9" s="1"/>
      <c r="TNP9" s="1"/>
      <c r="TNQ9" s="1"/>
      <c r="TNR9" s="1"/>
      <c r="TNS9" s="1"/>
      <c r="TNT9" s="1"/>
      <c r="TNU9" s="1"/>
      <c r="TNV9" s="1"/>
      <c r="TNW9" s="1"/>
      <c r="TNX9" s="1"/>
      <c r="TNY9" s="1"/>
      <c r="TNZ9" s="1"/>
      <c r="TOA9" s="1"/>
      <c r="TOB9" s="1"/>
      <c r="TOC9" s="1"/>
      <c r="TOD9" s="1"/>
      <c r="TOE9" s="1"/>
      <c r="TOF9" s="1"/>
      <c r="TOG9" s="1"/>
      <c r="TOH9" s="1"/>
      <c r="TOI9" s="1"/>
      <c r="TOJ9" s="1"/>
      <c r="TOK9" s="1"/>
      <c r="TOL9" s="1"/>
      <c r="TOM9" s="1"/>
      <c r="TON9" s="1"/>
      <c r="TOO9" s="1"/>
      <c r="TOP9" s="1"/>
      <c r="TOQ9" s="1"/>
      <c r="TOR9" s="1"/>
      <c r="TOS9" s="1"/>
      <c r="TOT9" s="1"/>
      <c r="TOU9" s="1"/>
      <c r="TOV9" s="1"/>
      <c r="TOW9" s="1"/>
      <c r="TOX9" s="1"/>
      <c r="TOY9" s="1"/>
      <c r="TOZ9" s="1"/>
      <c r="TPA9" s="1"/>
      <c r="TPB9" s="1"/>
      <c r="TPC9" s="1"/>
      <c r="TPD9" s="1"/>
      <c r="TPE9" s="1"/>
      <c r="TPF9" s="1"/>
      <c r="TPG9" s="1"/>
      <c r="TPH9" s="1"/>
      <c r="TPI9" s="1"/>
      <c r="TPJ9" s="1"/>
      <c r="TPK9" s="1"/>
      <c r="TPL9" s="1"/>
      <c r="TPM9" s="1"/>
      <c r="TPN9" s="1"/>
      <c r="TPO9" s="1"/>
      <c r="TPP9" s="1"/>
      <c r="TPQ9" s="1"/>
      <c r="TPR9" s="1"/>
      <c r="TPS9" s="1"/>
      <c r="TPT9" s="1"/>
      <c r="TPU9" s="1"/>
      <c r="TPV9" s="1"/>
      <c r="TPW9" s="1"/>
      <c r="TPX9" s="1"/>
      <c r="TPY9" s="1"/>
      <c r="TPZ9" s="1"/>
      <c r="TQA9" s="1"/>
      <c r="TQB9" s="1"/>
      <c r="TQC9" s="1"/>
      <c r="TQD9" s="1"/>
      <c r="TQE9" s="1"/>
      <c r="TQF9" s="1"/>
      <c r="TQG9" s="1"/>
      <c r="TQH9" s="1"/>
      <c r="TQI9" s="1"/>
      <c r="TQJ9" s="1"/>
      <c r="TQK9" s="1"/>
      <c r="TQL9" s="1"/>
      <c r="TQM9" s="1"/>
      <c r="TQN9" s="1"/>
      <c r="TQO9" s="1"/>
      <c r="TQP9" s="1"/>
      <c r="TQQ9" s="1"/>
      <c r="TQR9" s="1"/>
      <c r="TQS9" s="1"/>
      <c r="TQT9" s="1"/>
      <c r="TQU9" s="1"/>
      <c r="TQV9" s="1"/>
      <c r="TQW9" s="1"/>
      <c r="TQX9" s="1"/>
      <c r="TQY9" s="1"/>
      <c r="TQZ9" s="1"/>
      <c r="TRA9" s="1"/>
      <c r="TRB9" s="1"/>
      <c r="TRC9" s="1"/>
      <c r="TRD9" s="1"/>
      <c r="TRE9" s="1"/>
      <c r="TRF9" s="1"/>
      <c r="TRG9" s="1"/>
      <c r="TRH9" s="1"/>
      <c r="TRI9" s="1"/>
      <c r="TRJ9" s="1"/>
      <c r="TRK9" s="1"/>
      <c r="TRL9" s="1"/>
      <c r="TRM9" s="1"/>
      <c r="TRN9" s="1"/>
      <c r="TRO9" s="1"/>
      <c r="TRP9" s="1"/>
      <c r="TRQ9" s="1"/>
      <c r="TRR9" s="1"/>
      <c r="TRS9" s="1"/>
      <c r="TRT9" s="1"/>
      <c r="TRU9" s="1"/>
      <c r="TRV9" s="1"/>
      <c r="TRW9" s="1"/>
      <c r="TRX9" s="1"/>
      <c r="TRY9" s="1"/>
      <c r="TRZ9" s="1"/>
      <c r="TSA9" s="1"/>
      <c r="TSB9" s="1"/>
      <c r="TSC9" s="1"/>
      <c r="TSD9" s="1"/>
      <c r="TSE9" s="1"/>
      <c r="TSF9" s="1"/>
      <c r="TSG9" s="1"/>
      <c r="TSH9" s="1"/>
      <c r="TSI9" s="1"/>
      <c r="TSJ9" s="1"/>
      <c r="TSK9" s="1"/>
      <c r="TSL9" s="1"/>
      <c r="TSM9" s="1"/>
      <c r="TSN9" s="1"/>
      <c r="TSO9" s="1"/>
      <c r="TSP9" s="1"/>
      <c r="TSQ9" s="1"/>
      <c r="TSR9" s="1"/>
      <c r="TSS9" s="1"/>
      <c r="TST9" s="1"/>
      <c r="TSU9" s="1"/>
      <c r="TSV9" s="1"/>
      <c r="TSW9" s="1"/>
      <c r="TSX9" s="1"/>
      <c r="TSY9" s="1"/>
      <c r="TSZ9" s="1"/>
      <c r="TTA9" s="1"/>
      <c r="TTB9" s="1"/>
      <c r="TTC9" s="1"/>
      <c r="TTD9" s="1"/>
      <c r="TTE9" s="1"/>
      <c r="TTF9" s="1"/>
      <c r="TTG9" s="1"/>
      <c r="TTH9" s="1"/>
      <c r="TTI9" s="1"/>
      <c r="TTJ9" s="1"/>
      <c r="TTK9" s="1"/>
      <c r="TTL9" s="1"/>
      <c r="TTM9" s="1"/>
      <c r="TTN9" s="1"/>
      <c r="TTO9" s="1"/>
      <c r="TTP9" s="1"/>
      <c r="TTQ9" s="1"/>
      <c r="TTR9" s="1"/>
      <c r="TTS9" s="1"/>
      <c r="TTT9" s="1"/>
      <c r="TTU9" s="1"/>
      <c r="TTV9" s="1"/>
      <c r="TTW9" s="1"/>
      <c r="TTX9" s="1"/>
      <c r="TTY9" s="1"/>
      <c r="TTZ9" s="1"/>
      <c r="TUA9" s="1"/>
      <c r="TUB9" s="1"/>
      <c r="TUC9" s="1"/>
      <c r="TUD9" s="1"/>
      <c r="TUE9" s="1"/>
      <c r="TUF9" s="1"/>
      <c r="TUG9" s="1"/>
      <c r="TUH9" s="1"/>
      <c r="TUI9" s="1"/>
      <c r="TUJ9" s="1"/>
      <c r="TUK9" s="1"/>
      <c r="TUL9" s="1"/>
      <c r="TUM9" s="1"/>
      <c r="TUN9" s="1"/>
      <c r="TUO9" s="1"/>
      <c r="TUP9" s="1"/>
      <c r="TUQ9" s="1"/>
      <c r="TUR9" s="1"/>
      <c r="TUS9" s="1"/>
      <c r="TUT9" s="1"/>
      <c r="TUU9" s="1"/>
      <c r="TUV9" s="1"/>
      <c r="TUW9" s="1"/>
      <c r="TUX9" s="1"/>
      <c r="TUY9" s="1"/>
      <c r="TUZ9" s="1"/>
      <c r="TVA9" s="1"/>
      <c r="TVB9" s="1"/>
      <c r="TVC9" s="1"/>
      <c r="TVD9" s="1"/>
      <c r="TVE9" s="1"/>
      <c r="TVF9" s="1"/>
      <c r="TVG9" s="1"/>
      <c r="TVH9" s="1"/>
      <c r="TVI9" s="1"/>
      <c r="TVJ9" s="1"/>
      <c r="TVK9" s="1"/>
      <c r="TVL9" s="1"/>
      <c r="TVM9" s="1"/>
      <c r="TVN9" s="1"/>
      <c r="TVO9" s="1"/>
      <c r="TVP9" s="1"/>
      <c r="TVQ9" s="1"/>
      <c r="TVR9" s="1"/>
      <c r="TVS9" s="1"/>
      <c r="TVT9" s="1"/>
      <c r="TVU9" s="1"/>
      <c r="TVV9" s="1"/>
      <c r="TVW9" s="1"/>
      <c r="TVX9" s="1"/>
      <c r="TVY9" s="1"/>
      <c r="TVZ9" s="1"/>
      <c r="TWA9" s="1"/>
      <c r="TWB9" s="1"/>
      <c r="TWC9" s="1"/>
      <c r="TWD9" s="1"/>
      <c r="TWE9" s="1"/>
      <c r="TWF9" s="1"/>
      <c r="TWG9" s="1"/>
      <c r="TWH9" s="1"/>
      <c r="TWI9" s="1"/>
      <c r="TWJ9" s="1"/>
      <c r="TWK9" s="1"/>
      <c r="TWL9" s="1"/>
      <c r="TWM9" s="1"/>
      <c r="TWN9" s="1"/>
      <c r="TWO9" s="1"/>
      <c r="TWP9" s="1"/>
      <c r="TWQ9" s="1"/>
      <c r="TWR9" s="1"/>
      <c r="TWS9" s="1"/>
      <c r="TWT9" s="1"/>
      <c r="TWU9" s="1"/>
      <c r="TWV9" s="1"/>
      <c r="TWW9" s="1"/>
      <c r="TWX9" s="1"/>
      <c r="TWY9" s="1"/>
      <c r="TWZ9" s="1"/>
      <c r="TXA9" s="1"/>
      <c r="TXB9" s="1"/>
      <c r="TXC9" s="1"/>
      <c r="TXD9" s="1"/>
      <c r="TXE9" s="1"/>
      <c r="TXF9" s="1"/>
      <c r="TXG9" s="1"/>
      <c r="TXH9" s="1"/>
      <c r="TXI9" s="1"/>
      <c r="TXJ9" s="1"/>
      <c r="TXK9" s="1"/>
      <c r="TXL9" s="1"/>
      <c r="TXM9" s="1"/>
      <c r="TXN9" s="1"/>
      <c r="TXO9" s="1"/>
      <c r="TXP9" s="1"/>
      <c r="TXQ9" s="1"/>
      <c r="TXR9" s="1"/>
      <c r="TXS9" s="1"/>
      <c r="TXT9" s="1"/>
      <c r="TXU9" s="1"/>
      <c r="TXV9" s="1"/>
      <c r="TXW9" s="1"/>
      <c r="TXX9" s="1"/>
      <c r="TXY9" s="1"/>
      <c r="TXZ9" s="1"/>
      <c r="TYA9" s="1"/>
      <c r="TYB9" s="1"/>
      <c r="TYC9" s="1"/>
      <c r="TYD9" s="1"/>
      <c r="TYE9" s="1"/>
      <c r="TYF9" s="1"/>
      <c r="TYG9" s="1"/>
      <c r="TYH9" s="1"/>
      <c r="TYI9" s="1"/>
      <c r="TYJ9" s="1"/>
      <c r="TYK9" s="1"/>
      <c r="TYL9" s="1"/>
      <c r="TYM9" s="1"/>
      <c r="TYN9" s="1"/>
      <c r="TYO9" s="1"/>
      <c r="TYP9" s="1"/>
      <c r="TYQ9" s="1"/>
      <c r="TYR9" s="1"/>
      <c r="TYS9" s="1"/>
      <c r="TYT9" s="1"/>
      <c r="TYU9" s="1"/>
      <c r="TYV9" s="1"/>
      <c r="TYW9" s="1"/>
      <c r="TYX9" s="1"/>
      <c r="TYY9" s="1"/>
      <c r="TYZ9" s="1"/>
      <c r="TZA9" s="1"/>
      <c r="TZB9" s="1"/>
      <c r="TZC9" s="1"/>
      <c r="TZD9" s="1"/>
      <c r="TZE9" s="1"/>
      <c r="TZF9" s="1"/>
      <c r="TZG9" s="1"/>
      <c r="TZH9" s="1"/>
      <c r="TZI9" s="1"/>
      <c r="TZJ9" s="1"/>
      <c r="TZK9" s="1"/>
      <c r="TZL9" s="1"/>
      <c r="TZM9" s="1"/>
      <c r="TZN9" s="1"/>
      <c r="TZO9" s="1"/>
      <c r="TZP9" s="1"/>
      <c r="TZQ9" s="1"/>
      <c r="TZR9" s="1"/>
      <c r="TZS9" s="1"/>
      <c r="TZT9" s="1"/>
      <c r="TZU9" s="1"/>
      <c r="TZV9" s="1"/>
      <c r="TZW9" s="1"/>
      <c r="TZX9" s="1"/>
      <c r="TZY9" s="1"/>
      <c r="TZZ9" s="1"/>
      <c r="UAA9" s="1"/>
      <c r="UAB9" s="1"/>
      <c r="UAC9" s="1"/>
      <c r="UAD9" s="1"/>
      <c r="UAE9" s="1"/>
      <c r="UAF9" s="1"/>
      <c r="UAG9" s="1"/>
      <c r="UAH9" s="1"/>
      <c r="UAI9" s="1"/>
      <c r="UAJ9" s="1"/>
      <c r="UAK9" s="1"/>
      <c r="UAL9" s="1"/>
      <c r="UAM9" s="1"/>
      <c r="UAN9" s="1"/>
      <c r="UAO9" s="1"/>
      <c r="UAP9" s="1"/>
      <c r="UAQ9" s="1"/>
      <c r="UAR9" s="1"/>
      <c r="UAS9" s="1"/>
      <c r="UAT9" s="1"/>
      <c r="UAU9" s="1"/>
      <c r="UAV9" s="1"/>
      <c r="UAW9" s="1"/>
      <c r="UAX9" s="1"/>
      <c r="UAY9" s="1"/>
      <c r="UAZ9" s="1"/>
      <c r="UBA9" s="1"/>
      <c r="UBB9" s="1"/>
      <c r="UBC9" s="1"/>
      <c r="UBD9" s="1"/>
      <c r="UBE9" s="1"/>
      <c r="UBF9" s="1"/>
      <c r="UBG9" s="1"/>
      <c r="UBH9" s="1"/>
      <c r="UBI9" s="1"/>
      <c r="UBJ9" s="1"/>
      <c r="UBK9" s="1"/>
      <c r="UBL9" s="1"/>
      <c r="UBM9" s="1"/>
      <c r="UBN9" s="1"/>
      <c r="UBO9" s="1"/>
      <c r="UBP9" s="1"/>
      <c r="UBQ9" s="1"/>
      <c r="UBR9" s="1"/>
      <c r="UBS9" s="1"/>
      <c r="UBT9" s="1"/>
      <c r="UBU9" s="1"/>
      <c r="UBV9" s="1"/>
      <c r="UBW9" s="1"/>
      <c r="UBX9" s="1"/>
      <c r="UBY9" s="1"/>
      <c r="UBZ9" s="1"/>
      <c r="UCA9" s="1"/>
      <c r="UCB9" s="1"/>
      <c r="UCC9" s="1"/>
      <c r="UCD9" s="1"/>
      <c r="UCE9" s="1"/>
      <c r="UCF9" s="1"/>
      <c r="UCG9" s="1"/>
      <c r="UCH9" s="1"/>
      <c r="UCI9" s="1"/>
      <c r="UCJ9" s="1"/>
      <c r="UCK9" s="1"/>
      <c r="UCL9" s="1"/>
      <c r="UCM9" s="1"/>
      <c r="UCN9" s="1"/>
      <c r="UCO9" s="1"/>
      <c r="UCP9" s="1"/>
      <c r="UCQ9" s="1"/>
      <c r="UCR9" s="1"/>
      <c r="UCS9" s="1"/>
      <c r="UCT9" s="1"/>
      <c r="UCU9" s="1"/>
      <c r="UCV9" s="1"/>
      <c r="UCW9" s="1"/>
      <c r="UCX9" s="1"/>
      <c r="UCY9" s="1"/>
      <c r="UCZ9" s="1"/>
      <c r="UDA9" s="1"/>
      <c r="UDB9" s="1"/>
      <c r="UDC9" s="1"/>
      <c r="UDD9" s="1"/>
      <c r="UDE9" s="1"/>
      <c r="UDF9" s="1"/>
      <c r="UDG9" s="1"/>
      <c r="UDH9" s="1"/>
      <c r="UDI9" s="1"/>
      <c r="UDJ9" s="1"/>
      <c r="UDK9" s="1"/>
      <c r="UDL9" s="1"/>
      <c r="UDM9" s="1"/>
      <c r="UDN9" s="1"/>
      <c r="UDO9" s="1"/>
      <c r="UDP9" s="1"/>
      <c r="UDQ9" s="1"/>
      <c r="UDR9" s="1"/>
      <c r="UDS9" s="1"/>
      <c r="UDT9" s="1"/>
      <c r="UDU9" s="1"/>
      <c r="UDV9" s="1"/>
      <c r="UDW9" s="1"/>
      <c r="UDX9" s="1"/>
      <c r="UDY9" s="1"/>
      <c r="UDZ9" s="1"/>
      <c r="UEA9" s="1"/>
      <c r="UEB9" s="1"/>
      <c r="UEC9" s="1"/>
      <c r="UED9" s="1"/>
      <c r="UEE9" s="1"/>
      <c r="UEF9" s="1"/>
      <c r="UEG9" s="1"/>
      <c r="UEH9" s="1"/>
      <c r="UEI9" s="1"/>
      <c r="UEJ9" s="1"/>
      <c r="UEK9" s="1"/>
      <c r="UEL9" s="1"/>
      <c r="UEM9" s="1"/>
      <c r="UEN9" s="1"/>
      <c r="UEO9" s="1"/>
      <c r="UEP9" s="1"/>
      <c r="UEQ9" s="1"/>
      <c r="UER9" s="1"/>
      <c r="UES9" s="1"/>
      <c r="UET9" s="1"/>
      <c r="UEU9" s="1"/>
      <c r="UEV9" s="1"/>
      <c r="UEW9" s="1"/>
      <c r="UEX9" s="1"/>
      <c r="UEY9" s="1"/>
      <c r="UEZ9" s="1"/>
      <c r="UFA9" s="1"/>
      <c r="UFB9" s="1"/>
      <c r="UFC9" s="1"/>
      <c r="UFD9" s="1"/>
      <c r="UFE9" s="1"/>
      <c r="UFF9" s="1"/>
      <c r="UFG9" s="1"/>
      <c r="UFH9" s="1"/>
      <c r="UFI9" s="1"/>
      <c r="UFJ9" s="1"/>
      <c r="UFK9" s="1"/>
      <c r="UFL9" s="1"/>
      <c r="UFM9" s="1"/>
      <c r="UFN9" s="1"/>
      <c r="UFO9" s="1"/>
      <c r="UFP9" s="1"/>
      <c r="UFQ9" s="1"/>
      <c r="UFR9" s="1"/>
      <c r="UFS9" s="1"/>
      <c r="UFT9" s="1"/>
      <c r="UFU9" s="1"/>
      <c r="UFV9" s="1"/>
      <c r="UFW9" s="1"/>
      <c r="UFX9" s="1"/>
      <c r="UFY9" s="1"/>
      <c r="UFZ9" s="1"/>
      <c r="UGA9" s="1"/>
      <c r="UGB9" s="1"/>
      <c r="UGC9" s="1"/>
      <c r="UGD9" s="1"/>
      <c r="UGE9" s="1"/>
      <c r="UGF9" s="1"/>
      <c r="UGG9" s="1"/>
      <c r="UGH9" s="1"/>
      <c r="UGI9" s="1"/>
      <c r="UGJ9" s="1"/>
      <c r="UGK9" s="1"/>
      <c r="UGL9" s="1"/>
      <c r="UGM9" s="1"/>
      <c r="UGN9" s="1"/>
      <c r="UGO9" s="1"/>
      <c r="UGP9" s="1"/>
      <c r="UGQ9" s="1"/>
      <c r="UGR9" s="1"/>
      <c r="UGS9" s="1"/>
      <c r="UGT9" s="1"/>
      <c r="UGU9" s="1"/>
      <c r="UGV9" s="1"/>
      <c r="UGW9" s="1"/>
      <c r="UGX9" s="1"/>
      <c r="UGY9" s="1"/>
      <c r="UGZ9" s="1"/>
      <c r="UHA9" s="1"/>
      <c r="UHB9" s="1"/>
      <c r="UHC9" s="1"/>
      <c r="UHD9" s="1"/>
      <c r="UHE9" s="1"/>
      <c r="UHF9" s="1"/>
      <c r="UHG9" s="1"/>
      <c r="UHH9" s="1"/>
      <c r="UHI9" s="1"/>
      <c r="UHJ9" s="1"/>
      <c r="UHK9" s="1"/>
      <c r="UHL9" s="1"/>
      <c r="UHM9" s="1"/>
      <c r="UHN9" s="1"/>
      <c r="UHO9" s="1"/>
      <c r="UHP9" s="1"/>
      <c r="UHQ9" s="1"/>
      <c r="UHR9" s="1"/>
      <c r="UHS9" s="1"/>
      <c r="UHT9" s="1"/>
      <c r="UHU9" s="1"/>
      <c r="UHV9" s="1"/>
      <c r="UHW9" s="1"/>
      <c r="UHX9" s="1"/>
      <c r="UHY9" s="1"/>
      <c r="UHZ9" s="1"/>
      <c r="UIA9" s="1"/>
      <c r="UIB9" s="1"/>
      <c r="UIC9" s="1"/>
      <c r="UID9" s="1"/>
      <c r="UIE9" s="1"/>
      <c r="UIF9" s="1"/>
      <c r="UIG9" s="1"/>
      <c r="UIH9" s="1"/>
      <c r="UII9" s="1"/>
      <c r="UIJ9" s="1"/>
      <c r="UIK9" s="1"/>
      <c r="UIL9" s="1"/>
      <c r="UIM9" s="1"/>
      <c r="UIN9" s="1"/>
      <c r="UIO9" s="1"/>
      <c r="UIP9" s="1"/>
      <c r="UIQ9" s="1"/>
      <c r="UIR9" s="1"/>
      <c r="UIS9" s="1"/>
      <c r="UIT9" s="1"/>
      <c r="UIU9" s="1"/>
      <c r="UIV9" s="1"/>
      <c r="UIW9" s="1"/>
      <c r="UIX9" s="1"/>
      <c r="UIY9" s="1"/>
      <c r="UIZ9" s="1"/>
      <c r="UJA9" s="1"/>
      <c r="UJB9" s="1"/>
      <c r="UJC9" s="1"/>
      <c r="UJD9" s="1"/>
      <c r="UJE9" s="1"/>
      <c r="UJF9" s="1"/>
      <c r="UJG9" s="1"/>
      <c r="UJH9" s="1"/>
      <c r="UJI9" s="1"/>
      <c r="UJJ9" s="1"/>
      <c r="UJK9" s="1"/>
      <c r="UJL9" s="1"/>
      <c r="UJM9" s="1"/>
      <c r="UJN9" s="1"/>
      <c r="UJO9" s="1"/>
      <c r="UJP9" s="1"/>
      <c r="UJQ9" s="1"/>
      <c r="UJR9" s="1"/>
      <c r="UJS9" s="1"/>
      <c r="UJT9" s="1"/>
      <c r="UJU9" s="1"/>
      <c r="UJV9" s="1"/>
      <c r="UJW9" s="1"/>
      <c r="UJX9" s="1"/>
      <c r="UJY9" s="1"/>
      <c r="UJZ9" s="1"/>
      <c r="UKA9" s="1"/>
      <c r="UKB9" s="1"/>
      <c r="UKC9" s="1"/>
      <c r="UKD9" s="1"/>
      <c r="UKE9" s="1"/>
      <c r="UKF9" s="1"/>
      <c r="UKG9" s="1"/>
      <c r="UKH9" s="1"/>
      <c r="UKI9" s="1"/>
      <c r="UKJ9" s="1"/>
      <c r="UKK9" s="1"/>
      <c r="UKL9" s="1"/>
      <c r="UKM9" s="1"/>
      <c r="UKN9" s="1"/>
      <c r="UKO9" s="1"/>
      <c r="UKP9" s="1"/>
      <c r="UKQ9" s="1"/>
      <c r="UKR9" s="1"/>
      <c r="UKS9" s="1"/>
      <c r="UKT9" s="1"/>
      <c r="UKU9" s="1"/>
      <c r="UKV9" s="1"/>
      <c r="UKW9" s="1"/>
      <c r="UKX9" s="1"/>
      <c r="UKY9" s="1"/>
      <c r="UKZ9" s="1"/>
      <c r="ULA9" s="1"/>
      <c r="ULB9" s="1"/>
      <c r="ULC9" s="1"/>
      <c r="ULD9" s="1"/>
      <c r="ULE9" s="1"/>
      <c r="ULF9" s="1"/>
      <c r="ULG9" s="1"/>
      <c r="ULH9" s="1"/>
      <c r="ULI9" s="1"/>
      <c r="ULJ9" s="1"/>
      <c r="ULK9" s="1"/>
      <c r="ULL9" s="1"/>
      <c r="ULM9" s="1"/>
      <c r="ULN9" s="1"/>
      <c r="ULO9" s="1"/>
      <c r="ULP9" s="1"/>
      <c r="ULQ9" s="1"/>
      <c r="ULR9" s="1"/>
      <c r="ULS9" s="1"/>
      <c r="ULT9" s="1"/>
      <c r="ULU9" s="1"/>
      <c r="ULV9" s="1"/>
      <c r="ULW9" s="1"/>
      <c r="ULX9" s="1"/>
      <c r="ULY9" s="1"/>
      <c r="ULZ9" s="1"/>
      <c r="UMA9" s="1"/>
      <c r="UMB9" s="1"/>
      <c r="UMC9" s="1"/>
      <c r="UMD9" s="1"/>
      <c r="UME9" s="1"/>
      <c r="UMF9" s="1"/>
      <c r="UMG9" s="1"/>
      <c r="UMH9" s="1"/>
      <c r="UMI9" s="1"/>
      <c r="UMJ9" s="1"/>
      <c r="UMK9" s="1"/>
      <c r="UML9" s="1"/>
      <c r="UMM9" s="1"/>
      <c r="UMN9" s="1"/>
      <c r="UMO9" s="1"/>
      <c r="UMP9" s="1"/>
      <c r="UMQ9" s="1"/>
      <c r="UMR9" s="1"/>
      <c r="UMS9" s="1"/>
      <c r="UMT9" s="1"/>
      <c r="UMU9" s="1"/>
      <c r="UMV9" s="1"/>
      <c r="UMW9" s="1"/>
      <c r="UMX9" s="1"/>
      <c r="UMY9" s="1"/>
      <c r="UMZ9" s="1"/>
      <c r="UNA9" s="1"/>
      <c r="UNB9" s="1"/>
      <c r="UNC9" s="1"/>
      <c r="UND9" s="1"/>
      <c r="UNE9" s="1"/>
      <c r="UNF9" s="1"/>
      <c r="UNG9" s="1"/>
      <c r="UNH9" s="1"/>
      <c r="UNI9" s="1"/>
      <c r="UNJ9" s="1"/>
      <c r="UNK9" s="1"/>
      <c r="UNL9" s="1"/>
      <c r="UNM9" s="1"/>
      <c r="UNN9" s="1"/>
      <c r="UNO9" s="1"/>
      <c r="UNP9" s="1"/>
      <c r="UNQ9" s="1"/>
      <c r="UNR9" s="1"/>
      <c r="UNS9" s="1"/>
      <c r="UNT9" s="1"/>
      <c r="UNU9" s="1"/>
      <c r="UNV9" s="1"/>
      <c r="UNW9" s="1"/>
      <c r="UNX9" s="1"/>
      <c r="UNY9" s="1"/>
      <c r="UNZ9" s="1"/>
      <c r="UOA9" s="1"/>
      <c r="UOB9" s="1"/>
      <c r="UOC9" s="1"/>
      <c r="UOD9" s="1"/>
      <c r="UOE9" s="1"/>
      <c r="UOF9" s="1"/>
      <c r="UOG9" s="1"/>
      <c r="UOH9" s="1"/>
      <c r="UOI9" s="1"/>
      <c r="UOJ9" s="1"/>
      <c r="UOK9" s="1"/>
      <c r="UOL9" s="1"/>
      <c r="UOM9" s="1"/>
      <c r="UON9" s="1"/>
      <c r="UOO9" s="1"/>
      <c r="UOP9" s="1"/>
      <c r="UOQ9" s="1"/>
      <c r="UOR9" s="1"/>
      <c r="UOS9" s="1"/>
      <c r="UOT9" s="1"/>
      <c r="UOU9" s="1"/>
      <c r="UOV9" s="1"/>
      <c r="UOW9" s="1"/>
      <c r="UOX9" s="1"/>
      <c r="UOY9" s="1"/>
      <c r="UOZ9" s="1"/>
      <c r="UPA9" s="1"/>
      <c r="UPB9" s="1"/>
      <c r="UPC9" s="1"/>
      <c r="UPD9" s="1"/>
      <c r="UPE9" s="1"/>
      <c r="UPF9" s="1"/>
      <c r="UPG9" s="1"/>
      <c r="UPH9" s="1"/>
      <c r="UPI9" s="1"/>
      <c r="UPJ9" s="1"/>
      <c r="UPK9" s="1"/>
      <c r="UPL9" s="1"/>
      <c r="UPM9" s="1"/>
      <c r="UPN9" s="1"/>
      <c r="UPO9" s="1"/>
      <c r="UPP9" s="1"/>
      <c r="UPQ9" s="1"/>
      <c r="UPR9" s="1"/>
      <c r="UPS9" s="1"/>
      <c r="UPT9" s="1"/>
      <c r="UPU9" s="1"/>
      <c r="UPV9" s="1"/>
      <c r="UPW9" s="1"/>
      <c r="UPX9" s="1"/>
      <c r="UPY9" s="1"/>
      <c r="UPZ9" s="1"/>
      <c r="UQA9" s="1"/>
      <c r="UQB9" s="1"/>
      <c r="UQC9" s="1"/>
      <c r="UQD9" s="1"/>
      <c r="UQE9" s="1"/>
      <c r="UQF9" s="1"/>
      <c r="UQG9" s="1"/>
      <c r="UQH9" s="1"/>
      <c r="UQI9" s="1"/>
      <c r="UQJ9" s="1"/>
      <c r="UQK9" s="1"/>
      <c r="UQL9" s="1"/>
      <c r="UQM9" s="1"/>
      <c r="UQN9" s="1"/>
      <c r="UQO9" s="1"/>
      <c r="UQP9" s="1"/>
      <c r="UQQ9" s="1"/>
      <c r="UQR9" s="1"/>
      <c r="UQS9" s="1"/>
      <c r="UQT9" s="1"/>
      <c r="UQU9" s="1"/>
      <c r="UQV9" s="1"/>
      <c r="UQW9" s="1"/>
      <c r="UQX9" s="1"/>
      <c r="UQY9" s="1"/>
      <c r="UQZ9" s="1"/>
      <c r="URA9" s="1"/>
      <c r="URB9" s="1"/>
      <c r="URC9" s="1"/>
      <c r="URD9" s="1"/>
      <c r="URE9" s="1"/>
      <c r="URF9" s="1"/>
      <c r="URG9" s="1"/>
      <c r="URH9" s="1"/>
      <c r="URI9" s="1"/>
      <c r="URJ9" s="1"/>
      <c r="URK9" s="1"/>
      <c r="URL9" s="1"/>
      <c r="URM9" s="1"/>
      <c r="URN9" s="1"/>
      <c r="URO9" s="1"/>
      <c r="URP9" s="1"/>
      <c r="URQ9" s="1"/>
      <c r="URR9" s="1"/>
      <c r="URS9" s="1"/>
      <c r="URT9" s="1"/>
      <c r="URU9" s="1"/>
      <c r="URV9" s="1"/>
      <c r="URW9" s="1"/>
      <c r="URX9" s="1"/>
      <c r="URY9" s="1"/>
      <c r="URZ9" s="1"/>
      <c r="USA9" s="1"/>
      <c r="USB9" s="1"/>
      <c r="USC9" s="1"/>
      <c r="USD9" s="1"/>
      <c r="USE9" s="1"/>
      <c r="USF9" s="1"/>
      <c r="USG9" s="1"/>
      <c r="USH9" s="1"/>
      <c r="USI9" s="1"/>
      <c r="USJ9" s="1"/>
      <c r="USK9" s="1"/>
      <c r="USL9" s="1"/>
      <c r="USM9" s="1"/>
      <c r="USN9" s="1"/>
      <c r="USO9" s="1"/>
      <c r="USP9" s="1"/>
      <c r="USQ9" s="1"/>
      <c r="USR9" s="1"/>
      <c r="USS9" s="1"/>
      <c r="UST9" s="1"/>
      <c r="USU9" s="1"/>
      <c r="USV9" s="1"/>
      <c r="USW9" s="1"/>
      <c r="USX9" s="1"/>
      <c r="USY9" s="1"/>
      <c r="USZ9" s="1"/>
      <c r="UTA9" s="1"/>
      <c r="UTB9" s="1"/>
      <c r="UTC9" s="1"/>
      <c r="UTD9" s="1"/>
      <c r="UTE9" s="1"/>
      <c r="UTF9" s="1"/>
      <c r="UTG9" s="1"/>
      <c r="UTH9" s="1"/>
      <c r="UTI9" s="1"/>
      <c r="UTJ9" s="1"/>
      <c r="UTK9" s="1"/>
      <c r="UTL9" s="1"/>
      <c r="UTM9" s="1"/>
      <c r="UTN9" s="1"/>
      <c r="UTO9" s="1"/>
      <c r="UTP9" s="1"/>
      <c r="UTQ9" s="1"/>
      <c r="UTR9" s="1"/>
      <c r="UTS9" s="1"/>
      <c r="UTT9" s="1"/>
      <c r="UTU9" s="1"/>
      <c r="UTV9" s="1"/>
      <c r="UTW9" s="1"/>
      <c r="UTX9" s="1"/>
      <c r="UTY9" s="1"/>
      <c r="UTZ9" s="1"/>
      <c r="UUA9" s="1"/>
      <c r="UUB9" s="1"/>
      <c r="UUC9" s="1"/>
      <c r="UUD9" s="1"/>
      <c r="UUE9" s="1"/>
      <c r="UUF9" s="1"/>
      <c r="UUG9" s="1"/>
      <c r="UUH9" s="1"/>
      <c r="UUI9" s="1"/>
      <c r="UUJ9" s="1"/>
      <c r="UUK9" s="1"/>
      <c r="UUL9" s="1"/>
      <c r="UUM9" s="1"/>
      <c r="UUN9" s="1"/>
      <c r="UUO9" s="1"/>
      <c r="UUP9" s="1"/>
      <c r="UUQ9" s="1"/>
      <c r="UUR9" s="1"/>
      <c r="UUS9" s="1"/>
      <c r="UUT9" s="1"/>
      <c r="UUU9" s="1"/>
      <c r="UUV9" s="1"/>
      <c r="UUW9" s="1"/>
      <c r="UUX9" s="1"/>
      <c r="UUY9" s="1"/>
      <c r="UUZ9" s="1"/>
      <c r="UVA9" s="1"/>
      <c r="UVB9" s="1"/>
      <c r="UVC9" s="1"/>
      <c r="UVD9" s="1"/>
      <c r="UVE9" s="1"/>
      <c r="UVF9" s="1"/>
      <c r="UVG9" s="1"/>
      <c r="UVH9" s="1"/>
      <c r="UVI9" s="1"/>
      <c r="UVJ9" s="1"/>
      <c r="UVK9" s="1"/>
      <c r="UVL9" s="1"/>
      <c r="UVM9" s="1"/>
      <c r="UVN9" s="1"/>
      <c r="UVO9" s="1"/>
      <c r="UVP9" s="1"/>
      <c r="UVQ9" s="1"/>
      <c r="UVR9" s="1"/>
      <c r="UVS9" s="1"/>
      <c r="UVT9" s="1"/>
      <c r="UVU9" s="1"/>
      <c r="UVV9" s="1"/>
      <c r="UVW9" s="1"/>
      <c r="UVX9" s="1"/>
      <c r="UVY9" s="1"/>
      <c r="UVZ9" s="1"/>
      <c r="UWA9" s="1"/>
      <c r="UWB9" s="1"/>
      <c r="UWC9" s="1"/>
      <c r="UWD9" s="1"/>
      <c r="UWE9" s="1"/>
      <c r="UWF9" s="1"/>
      <c r="UWG9" s="1"/>
      <c r="UWH9" s="1"/>
      <c r="UWI9" s="1"/>
      <c r="UWJ9" s="1"/>
      <c r="UWK9" s="1"/>
      <c r="UWL9" s="1"/>
      <c r="UWM9" s="1"/>
      <c r="UWN9" s="1"/>
      <c r="UWO9" s="1"/>
      <c r="UWP9" s="1"/>
      <c r="UWQ9" s="1"/>
      <c r="UWR9" s="1"/>
      <c r="UWS9" s="1"/>
      <c r="UWT9" s="1"/>
      <c r="UWU9" s="1"/>
      <c r="UWV9" s="1"/>
      <c r="UWW9" s="1"/>
      <c r="UWX9" s="1"/>
      <c r="UWY9" s="1"/>
      <c r="UWZ9" s="1"/>
      <c r="UXA9" s="1"/>
      <c r="UXB9" s="1"/>
      <c r="UXC9" s="1"/>
      <c r="UXD9" s="1"/>
      <c r="UXE9" s="1"/>
      <c r="UXF9" s="1"/>
      <c r="UXG9" s="1"/>
      <c r="UXH9" s="1"/>
      <c r="UXI9" s="1"/>
      <c r="UXJ9" s="1"/>
      <c r="UXK9" s="1"/>
      <c r="UXL9" s="1"/>
      <c r="UXM9" s="1"/>
      <c r="UXN9" s="1"/>
      <c r="UXO9" s="1"/>
      <c r="UXP9" s="1"/>
      <c r="UXQ9" s="1"/>
      <c r="UXR9" s="1"/>
      <c r="UXS9" s="1"/>
      <c r="UXT9" s="1"/>
      <c r="UXU9" s="1"/>
      <c r="UXV9" s="1"/>
      <c r="UXW9" s="1"/>
      <c r="UXX9" s="1"/>
      <c r="UXY9" s="1"/>
      <c r="UXZ9" s="1"/>
      <c r="UYA9" s="1"/>
      <c r="UYB9" s="1"/>
      <c r="UYC9" s="1"/>
      <c r="UYD9" s="1"/>
      <c r="UYE9" s="1"/>
      <c r="UYF9" s="1"/>
      <c r="UYG9" s="1"/>
      <c r="UYH9" s="1"/>
      <c r="UYI9" s="1"/>
      <c r="UYJ9" s="1"/>
      <c r="UYK9" s="1"/>
      <c r="UYL9" s="1"/>
      <c r="UYM9" s="1"/>
      <c r="UYN9" s="1"/>
      <c r="UYO9" s="1"/>
      <c r="UYP9" s="1"/>
      <c r="UYQ9" s="1"/>
      <c r="UYR9" s="1"/>
      <c r="UYS9" s="1"/>
      <c r="UYT9" s="1"/>
      <c r="UYU9" s="1"/>
      <c r="UYV9" s="1"/>
      <c r="UYW9" s="1"/>
      <c r="UYX9" s="1"/>
      <c r="UYY9" s="1"/>
      <c r="UYZ9" s="1"/>
      <c r="UZA9" s="1"/>
      <c r="UZB9" s="1"/>
      <c r="UZC9" s="1"/>
      <c r="UZD9" s="1"/>
      <c r="UZE9" s="1"/>
      <c r="UZF9" s="1"/>
      <c r="UZG9" s="1"/>
      <c r="UZH9" s="1"/>
      <c r="UZI9" s="1"/>
      <c r="UZJ9" s="1"/>
      <c r="UZK9" s="1"/>
      <c r="UZL9" s="1"/>
      <c r="UZM9" s="1"/>
      <c r="UZN9" s="1"/>
      <c r="UZO9" s="1"/>
      <c r="UZP9" s="1"/>
      <c r="UZQ9" s="1"/>
      <c r="UZR9" s="1"/>
      <c r="UZS9" s="1"/>
      <c r="UZT9" s="1"/>
      <c r="UZU9" s="1"/>
      <c r="UZV9" s="1"/>
      <c r="UZW9" s="1"/>
      <c r="UZX9" s="1"/>
      <c r="UZY9" s="1"/>
      <c r="UZZ9" s="1"/>
      <c r="VAA9" s="1"/>
      <c r="VAB9" s="1"/>
      <c r="VAC9" s="1"/>
      <c r="VAD9" s="1"/>
      <c r="VAE9" s="1"/>
      <c r="VAF9" s="1"/>
      <c r="VAG9" s="1"/>
      <c r="VAH9" s="1"/>
      <c r="VAI9" s="1"/>
      <c r="VAJ9" s="1"/>
      <c r="VAK9" s="1"/>
      <c r="VAL9" s="1"/>
      <c r="VAM9" s="1"/>
      <c r="VAN9" s="1"/>
      <c r="VAO9" s="1"/>
      <c r="VAP9" s="1"/>
      <c r="VAQ9" s="1"/>
      <c r="VAR9" s="1"/>
      <c r="VAS9" s="1"/>
      <c r="VAT9" s="1"/>
      <c r="VAU9" s="1"/>
      <c r="VAV9" s="1"/>
      <c r="VAW9" s="1"/>
      <c r="VAX9" s="1"/>
      <c r="VAY9" s="1"/>
      <c r="VAZ9" s="1"/>
      <c r="VBA9" s="1"/>
      <c r="VBB9" s="1"/>
      <c r="VBC9" s="1"/>
      <c r="VBD9" s="1"/>
      <c r="VBE9" s="1"/>
      <c r="VBF9" s="1"/>
      <c r="VBG9" s="1"/>
      <c r="VBH9" s="1"/>
      <c r="VBI9" s="1"/>
      <c r="VBJ9" s="1"/>
      <c r="VBK9" s="1"/>
      <c r="VBL9" s="1"/>
      <c r="VBM9" s="1"/>
      <c r="VBN9" s="1"/>
      <c r="VBO9" s="1"/>
      <c r="VBP9" s="1"/>
      <c r="VBQ9" s="1"/>
      <c r="VBR9" s="1"/>
      <c r="VBS9" s="1"/>
      <c r="VBT9" s="1"/>
      <c r="VBU9" s="1"/>
      <c r="VBV9" s="1"/>
      <c r="VBW9" s="1"/>
      <c r="VBX9" s="1"/>
      <c r="VBY9" s="1"/>
      <c r="VBZ9" s="1"/>
      <c r="VCA9" s="1"/>
      <c r="VCB9" s="1"/>
      <c r="VCC9" s="1"/>
      <c r="VCD9" s="1"/>
      <c r="VCE9" s="1"/>
      <c r="VCF9" s="1"/>
      <c r="VCG9" s="1"/>
      <c r="VCH9" s="1"/>
      <c r="VCI9" s="1"/>
      <c r="VCJ9" s="1"/>
      <c r="VCK9" s="1"/>
      <c r="VCL9" s="1"/>
      <c r="VCM9" s="1"/>
      <c r="VCN9" s="1"/>
      <c r="VCO9" s="1"/>
      <c r="VCP9" s="1"/>
      <c r="VCQ9" s="1"/>
      <c r="VCR9" s="1"/>
      <c r="VCS9" s="1"/>
      <c r="VCT9" s="1"/>
      <c r="VCU9" s="1"/>
      <c r="VCV9" s="1"/>
      <c r="VCW9" s="1"/>
      <c r="VCX9" s="1"/>
      <c r="VCY9" s="1"/>
      <c r="VCZ9" s="1"/>
      <c r="VDA9" s="1"/>
      <c r="VDB9" s="1"/>
      <c r="VDC9" s="1"/>
      <c r="VDD9" s="1"/>
      <c r="VDE9" s="1"/>
      <c r="VDF9" s="1"/>
      <c r="VDG9" s="1"/>
      <c r="VDH9" s="1"/>
      <c r="VDI9" s="1"/>
      <c r="VDJ9" s="1"/>
      <c r="VDK9" s="1"/>
      <c r="VDL9" s="1"/>
      <c r="VDM9" s="1"/>
      <c r="VDN9" s="1"/>
      <c r="VDO9" s="1"/>
      <c r="VDP9" s="1"/>
      <c r="VDQ9" s="1"/>
      <c r="VDR9" s="1"/>
      <c r="VDS9" s="1"/>
      <c r="VDT9" s="1"/>
      <c r="VDU9" s="1"/>
      <c r="VDV9" s="1"/>
      <c r="VDW9" s="1"/>
      <c r="VDX9" s="1"/>
      <c r="VDY9" s="1"/>
      <c r="VDZ9" s="1"/>
      <c r="VEA9" s="1"/>
      <c r="VEB9" s="1"/>
      <c r="VEC9" s="1"/>
      <c r="VED9" s="1"/>
      <c r="VEE9" s="1"/>
      <c r="VEF9" s="1"/>
      <c r="VEG9" s="1"/>
      <c r="VEH9" s="1"/>
      <c r="VEI9" s="1"/>
      <c r="VEJ9" s="1"/>
      <c r="VEK9" s="1"/>
      <c r="VEL9" s="1"/>
      <c r="VEM9" s="1"/>
      <c r="VEN9" s="1"/>
      <c r="VEO9" s="1"/>
      <c r="VEP9" s="1"/>
      <c r="VEQ9" s="1"/>
      <c r="VER9" s="1"/>
      <c r="VES9" s="1"/>
      <c r="VET9" s="1"/>
      <c r="VEU9" s="1"/>
      <c r="VEV9" s="1"/>
      <c r="VEW9" s="1"/>
      <c r="VEX9" s="1"/>
      <c r="VEY9" s="1"/>
      <c r="VEZ9" s="1"/>
      <c r="VFA9" s="1"/>
      <c r="VFB9" s="1"/>
      <c r="VFC9" s="1"/>
      <c r="VFD9" s="1"/>
      <c r="VFE9" s="1"/>
      <c r="VFF9" s="1"/>
      <c r="VFG9" s="1"/>
      <c r="VFH9" s="1"/>
      <c r="VFI9" s="1"/>
      <c r="VFJ9" s="1"/>
      <c r="VFK9" s="1"/>
      <c r="VFL9" s="1"/>
      <c r="VFM9" s="1"/>
      <c r="VFN9" s="1"/>
      <c r="VFO9" s="1"/>
      <c r="VFP9" s="1"/>
      <c r="VFQ9" s="1"/>
      <c r="VFR9" s="1"/>
      <c r="VFS9" s="1"/>
      <c r="VFT9" s="1"/>
      <c r="VFU9" s="1"/>
      <c r="VFV9" s="1"/>
      <c r="VFW9" s="1"/>
      <c r="VFX9" s="1"/>
      <c r="VFY9" s="1"/>
      <c r="VFZ9" s="1"/>
      <c r="VGA9" s="1"/>
      <c r="VGB9" s="1"/>
      <c r="VGC9" s="1"/>
      <c r="VGD9" s="1"/>
      <c r="VGE9" s="1"/>
      <c r="VGF9" s="1"/>
      <c r="VGG9" s="1"/>
      <c r="VGH9" s="1"/>
      <c r="VGI9" s="1"/>
      <c r="VGJ9" s="1"/>
      <c r="VGK9" s="1"/>
      <c r="VGL9" s="1"/>
      <c r="VGM9" s="1"/>
      <c r="VGN9" s="1"/>
      <c r="VGO9" s="1"/>
      <c r="VGP9" s="1"/>
      <c r="VGQ9" s="1"/>
      <c r="VGR9" s="1"/>
      <c r="VGS9" s="1"/>
      <c r="VGT9" s="1"/>
      <c r="VGU9" s="1"/>
      <c r="VGV9" s="1"/>
      <c r="VGW9" s="1"/>
      <c r="VGX9" s="1"/>
      <c r="VGY9" s="1"/>
      <c r="VGZ9" s="1"/>
      <c r="VHA9" s="1"/>
      <c r="VHB9" s="1"/>
      <c r="VHC9" s="1"/>
      <c r="VHD9" s="1"/>
      <c r="VHE9" s="1"/>
      <c r="VHF9" s="1"/>
      <c r="VHG9" s="1"/>
      <c r="VHH9" s="1"/>
      <c r="VHI9" s="1"/>
      <c r="VHJ9" s="1"/>
      <c r="VHK9" s="1"/>
      <c r="VHL9" s="1"/>
      <c r="VHM9" s="1"/>
      <c r="VHN9" s="1"/>
      <c r="VHO9" s="1"/>
      <c r="VHP9" s="1"/>
      <c r="VHQ9" s="1"/>
      <c r="VHR9" s="1"/>
      <c r="VHS9" s="1"/>
      <c r="VHT9" s="1"/>
      <c r="VHU9" s="1"/>
      <c r="VHV9" s="1"/>
      <c r="VHW9" s="1"/>
      <c r="VHX9" s="1"/>
      <c r="VHY9" s="1"/>
      <c r="VHZ9" s="1"/>
      <c r="VIA9" s="1"/>
      <c r="VIB9" s="1"/>
      <c r="VIC9" s="1"/>
      <c r="VID9" s="1"/>
      <c r="VIE9" s="1"/>
      <c r="VIF9" s="1"/>
      <c r="VIG9" s="1"/>
      <c r="VIH9" s="1"/>
      <c r="VII9" s="1"/>
      <c r="VIJ9" s="1"/>
      <c r="VIK9" s="1"/>
      <c r="VIL9" s="1"/>
      <c r="VIM9" s="1"/>
      <c r="VIN9" s="1"/>
      <c r="VIO9" s="1"/>
      <c r="VIP9" s="1"/>
      <c r="VIQ9" s="1"/>
      <c r="VIR9" s="1"/>
      <c r="VIS9" s="1"/>
      <c r="VIT9" s="1"/>
      <c r="VIU9" s="1"/>
      <c r="VIV9" s="1"/>
      <c r="VIW9" s="1"/>
      <c r="VIX9" s="1"/>
      <c r="VIY9" s="1"/>
      <c r="VIZ9" s="1"/>
      <c r="VJA9" s="1"/>
      <c r="VJB9" s="1"/>
      <c r="VJC9" s="1"/>
      <c r="VJD9" s="1"/>
      <c r="VJE9" s="1"/>
      <c r="VJF9" s="1"/>
      <c r="VJG9" s="1"/>
      <c r="VJH9" s="1"/>
      <c r="VJI9" s="1"/>
      <c r="VJJ9" s="1"/>
      <c r="VJK9" s="1"/>
      <c r="VJL9" s="1"/>
      <c r="VJM9" s="1"/>
      <c r="VJN9" s="1"/>
      <c r="VJO9" s="1"/>
      <c r="VJP9" s="1"/>
      <c r="VJQ9" s="1"/>
      <c r="VJR9" s="1"/>
      <c r="VJS9" s="1"/>
      <c r="VJT9" s="1"/>
      <c r="VJU9" s="1"/>
      <c r="VJV9" s="1"/>
      <c r="VJW9" s="1"/>
      <c r="VJX9" s="1"/>
      <c r="VJY9" s="1"/>
      <c r="VJZ9" s="1"/>
      <c r="VKA9" s="1"/>
      <c r="VKB9" s="1"/>
      <c r="VKC9" s="1"/>
      <c r="VKD9" s="1"/>
      <c r="VKE9" s="1"/>
      <c r="VKF9" s="1"/>
      <c r="VKG9" s="1"/>
      <c r="VKH9" s="1"/>
      <c r="VKI9" s="1"/>
      <c r="VKJ9" s="1"/>
      <c r="VKK9" s="1"/>
      <c r="VKL9" s="1"/>
      <c r="VKM9" s="1"/>
      <c r="VKN9" s="1"/>
      <c r="VKO9" s="1"/>
      <c r="VKP9" s="1"/>
      <c r="VKQ9" s="1"/>
      <c r="VKR9" s="1"/>
      <c r="VKS9" s="1"/>
      <c r="VKT9" s="1"/>
      <c r="VKU9" s="1"/>
      <c r="VKV9" s="1"/>
      <c r="VKW9" s="1"/>
      <c r="VKX9" s="1"/>
      <c r="VKY9" s="1"/>
      <c r="VKZ9" s="1"/>
      <c r="VLA9" s="1"/>
      <c r="VLB9" s="1"/>
      <c r="VLC9" s="1"/>
      <c r="VLD9" s="1"/>
      <c r="VLE9" s="1"/>
      <c r="VLF9" s="1"/>
      <c r="VLG9" s="1"/>
      <c r="VLH9" s="1"/>
      <c r="VLI9" s="1"/>
      <c r="VLJ9" s="1"/>
      <c r="VLK9" s="1"/>
      <c r="VLL9" s="1"/>
      <c r="VLM9" s="1"/>
      <c r="VLN9" s="1"/>
      <c r="VLO9" s="1"/>
      <c r="VLP9" s="1"/>
      <c r="VLQ9" s="1"/>
      <c r="VLR9" s="1"/>
      <c r="VLS9" s="1"/>
      <c r="VLT9" s="1"/>
      <c r="VLU9" s="1"/>
      <c r="VLV9" s="1"/>
      <c r="VLW9" s="1"/>
      <c r="VLX9" s="1"/>
      <c r="VLY9" s="1"/>
      <c r="VLZ9" s="1"/>
      <c r="VMA9" s="1"/>
      <c r="VMB9" s="1"/>
      <c r="VMC9" s="1"/>
      <c r="VMD9" s="1"/>
      <c r="VME9" s="1"/>
      <c r="VMF9" s="1"/>
      <c r="VMG9" s="1"/>
      <c r="VMH9" s="1"/>
      <c r="VMI9" s="1"/>
      <c r="VMJ9" s="1"/>
      <c r="VMK9" s="1"/>
      <c r="VML9" s="1"/>
      <c r="VMM9" s="1"/>
      <c r="VMN9" s="1"/>
      <c r="VMO9" s="1"/>
      <c r="VMP9" s="1"/>
      <c r="VMQ9" s="1"/>
      <c r="VMR9" s="1"/>
      <c r="VMS9" s="1"/>
      <c r="VMT9" s="1"/>
      <c r="VMU9" s="1"/>
      <c r="VMV9" s="1"/>
      <c r="VMW9" s="1"/>
      <c r="VMX9" s="1"/>
      <c r="VMY9" s="1"/>
      <c r="VMZ9" s="1"/>
      <c r="VNA9" s="1"/>
      <c r="VNB9" s="1"/>
      <c r="VNC9" s="1"/>
      <c r="VND9" s="1"/>
      <c r="VNE9" s="1"/>
      <c r="VNF9" s="1"/>
      <c r="VNG9" s="1"/>
      <c r="VNH9" s="1"/>
      <c r="VNI9" s="1"/>
      <c r="VNJ9" s="1"/>
      <c r="VNK9" s="1"/>
      <c r="VNL9" s="1"/>
      <c r="VNM9" s="1"/>
      <c r="VNN9" s="1"/>
      <c r="VNO9" s="1"/>
      <c r="VNP9" s="1"/>
      <c r="VNQ9" s="1"/>
      <c r="VNR9" s="1"/>
      <c r="VNS9" s="1"/>
      <c r="VNT9" s="1"/>
      <c r="VNU9" s="1"/>
      <c r="VNV9" s="1"/>
      <c r="VNW9" s="1"/>
      <c r="VNX9" s="1"/>
      <c r="VNY9" s="1"/>
      <c r="VNZ9" s="1"/>
      <c r="VOA9" s="1"/>
      <c r="VOB9" s="1"/>
      <c r="VOC9" s="1"/>
      <c r="VOD9" s="1"/>
      <c r="VOE9" s="1"/>
      <c r="VOF9" s="1"/>
      <c r="VOG9" s="1"/>
      <c r="VOH9" s="1"/>
      <c r="VOI9" s="1"/>
      <c r="VOJ9" s="1"/>
      <c r="VOK9" s="1"/>
      <c r="VOL9" s="1"/>
      <c r="VOM9" s="1"/>
      <c r="VON9" s="1"/>
      <c r="VOO9" s="1"/>
      <c r="VOP9" s="1"/>
      <c r="VOQ9" s="1"/>
      <c r="VOR9" s="1"/>
      <c r="VOS9" s="1"/>
      <c r="VOT9" s="1"/>
      <c r="VOU9" s="1"/>
      <c r="VOV9" s="1"/>
      <c r="VOW9" s="1"/>
      <c r="VOX9" s="1"/>
      <c r="VOY9" s="1"/>
      <c r="VOZ9" s="1"/>
      <c r="VPA9" s="1"/>
      <c r="VPB9" s="1"/>
      <c r="VPC9" s="1"/>
      <c r="VPD9" s="1"/>
      <c r="VPE9" s="1"/>
      <c r="VPF9" s="1"/>
      <c r="VPG9" s="1"/>
      <c r="VPH9" s="1"/>
      <c r="VPI9" s="1"/>
      <c r="VPJ9" s="1"/>
      <c r="VPK9" s="1"/>
      <c r="VPL9" s="1"/>
      <c r="VPM9" s="1"/>
      <c r="VPN9" s="1"/>
      <c r="VPO9" s="1"/>
      <c r="VPP9" s="1"/>
      <c r="VPQ9" s="1"/>
      <c r="VPR9" s="1"/>
      <c r="VPS9" s="1"/>
      <c r="VPT9" s="1"/>
      <c r="VPU9" s="1"/>
      <c r="VPV9" s="1"/>
      <c r="VPW9" s="1"/>
      <c r="VPX9" s="1"/>
      <c r="VPY9" s="1"/>
      <c r="VPZ9" s="1"/>
      <c r="VQA9" s="1"/>
      <c r="VQB9" s="1"/>
      <c r="VQC9" s="1"/>
      <c r="VQD9" s="1"/>
      <c r="VQE9" s="1"/>
      <c r="VQF9" s="1"/>
      <c r="VQG9" s="1"/>
      <c r="VQH9" s="1"/>
      <c r="VQI9" s="1"/>
      <c r="VQJ9" s="1"/>
      <c r="VQK9" s="1"/>
      <c r="VQL9" s="1"/>
      <c r="VQM9" s="1"/>
      <c r="VQN9" s="1"/>
      <c r="VQO9" s="1"/>
      <c r="VQP9" s="1"/>
      <c r="VQQ9" s="1"/>
      <c r="VQR9" s="1"/>
      <c r="VQS9" s="1"/>
      <c r="VQT9" s="1"/>
      <c r="VQU9" s="1"/>
      <c r="VQV9" s="1"/>
      <c r="VQW9" s="1"/>
      <c r="VQX9" s="1"/>
      <c r="VQY9" s="1"/>
      <c r="VQZ9" s="1"/>
      <c r="VRA9" s="1"/>
      <c r="VRB9" s="1"/>
      <c r="VRC9" s="1"/>
      <c r="VRD9" s="1"/>
      <c r="VRE9" s="1"/>
      <c r="VRF9" s="1"/>
      <c r="VRG9" s="1"/>
      <c r="VRH9" s="1"/>
      <c r="VRI9" s="1"/>
      <c r="VRJ9" s="1"/>
      <c r="VRK9" s="1"/>
      <c r="VRL9" s="1"/>
      <c r="VRM9" s="1"/>
      <c r="VRN9" s="1"/>
      <c r="VRO9" s="1"/>
      <c r="VRP9" s="1"/>
      <c r="VRQ9" s="1"/>
      <c r="VRR9" s="1"/>
      <c r="VRS9" s="1"/>
      <c r="VRT9" s="1"/>
      <c r="VRU9" s="1"/>
      <c r="VRV9" s="1"/>
      <c r="VRW9" s="1"/>
      <c r="VRX9" s="1"/>
      <c r="VRY9" s="1"/>
      <c r="VRZ9" s="1"/>
      <c r="VSA9" s="1"/>
      <c r="VSB9" s="1"/>
      <c r="VSC9" s="1"/>
      <c r="VSD9" s="1"/>
      <c r="VSE9" s="1"/>
      <c r="VSF9" s="1"/>
      <c r="VSG9" s="1"/>
      <c r="VSH9" s="1"/>
      <c r="VSI9" s="1"/>
      <c r="VSJ9" s="1"/>
      <c r="VSK9" s="1"/>
      <c r="VSL9" s="1"/>
      <c r="VSM9" s="1"/>
      <c r="VSN9" s="1"/>
      <c r="VSO9" s="1"/>
      <c r="VSP9" s="1"/>
      <c r="VSQ9" s="1"/>
      <c r="VSR9" s="1"/>
      <c r="VSS9" s="1"/>
      <c r="VST9" s="1"/>
      <c r="VSU9" s="1"/>
      <c r="VSV9" s="1"/>
      <c r="VSW9" s="1"/>
      <c r="VSX9" s="1"/>
      <c r="VSY9" s="1"/>
      <c r="VSZ9" s="1"/>
      <c r="VTA9" s="1"/>
      <c r="VTB9" s="1"/>
      <c r="VTC9" s="1"/>
      <c r="VTD9" s="1"/>
      <c r="VTE9" s="1"/>
      <c r="VTF9" s="1"/>
      <c r="VTG9" s="1"/>
      <c r="VTH9" s="1"/>
      <c r="VTI9" s="1"/>
      <c r="VTJ9" s="1"/>
      <c r="VTK9" s="1"/>
      <c r="VTL9" s="1"/>
      <c r="VTM9" s="1"/>
      <c r="VTN9" s="1"/>
      <c r="VTO9" s="1"/>
      <c r="VTP9" s="1"/>
      <c r="VTQ9" s="1"/>
      <c r="VTR9" s="1"/>
      <c r="VTS9" s="1"/>
      <c r="VTT9" s="1"/>
      <c r="VTU9" s="1"/>
      <c r="VTV9" s="1"/>
      <c r="VTW9" s="1"/>
      <c r="VTX9" s="1"/>
      <c r="VTY9" s="1"/>
      <c r="VTZ9" s="1"/>
      <c r="VUA9" s="1"/>
      <c r="VUB9" s="1"/>
      <c r="VUC9" s="1"/>
      <c r="VUD9" s="1"/>
      <c r="VUE9" s="1"/>
      <c r="VUF9" s="1"/>
      <c r="VUG9" s="1"/>
      <c r="VUH9" s="1"/>
      <c r="VUI9" s="1"/>
      <c r="VUJ9" s="1"/>
      <c r="VUK9" s="1"/>
      <c r="VUL9" s="1"/>
      <c r="VUM9" s="1"/>
      <c r="VUN9" s="1"/>
      <c r="VUO9" s="1"/>
      <c r="VUP9" s="1"/>
      <c r="VUQ9" s="1"/>
      <c r="VUR9" s="1"/>
      <c r="VUS9" s="1"/>
      <c r="VUT9" s="1"/>
      <c r="VUU9" s="1"/>
      <c r="VUV9" s="1"/>
      <c r="VUW9" s="1"/>
      <c r="VUX9" s="1"/>
      <c r="VUY9" s="1"/>
      <c r="VUZ9" s="1"/>
      <c r="VVA9" s="1"/>
      <c r="VVB9" s="1"/>
      <c r="VVC9" s="1"/>
      <c r="VVD9" s="1"/>
      <c r="VVE9" s="1"/>
      <c r="VVF9" s="1"/>
      <c r="VVG9" s="1"/>
      <c r="VVH9" s="1"/>
      <c r="VVI9" s="1"/>
      <c r="VVJ9" s="1"/>
      <c r="VVK9" s="1"/>
      <c r="VVL9" s="1"/>
      <c r="VVM9" s="1"/>
      <c r="VVN9" s="1"/>
      <c r="VVO9" s="1"/>
      <c r="VVP9" s="1"/>
      <c r="VVQ9" s="1"/>
      <c r="VVR9" s="1"/>
      <c r="VVS9" s="1"/>
      <c r="VVT9" s="1"/>
      <c r="VVU9" s="1"/>
      <c r="VVV9" s="1"/>
      <c r="VVW9" s="1"/>
      <c r="VVX9" s="1"/>
      <c r="VVY9" s="1"/>
      <c r="VVZ9" s="1"/>
      <c r="VWA9" s="1"/>
      <c r="VWB9" s="1"/>
      <c r="VWC9" s="1"/>
      <c r="VWD9" s="1"/>
      <c r="VWE9" s="1"/>
      <c r="VWF9" s="1"/>
      <c r="VWG9" s="1"/>
      <c r="VWH9" s="1"/>
      <c r="VWI9" s="1"/>
      <c r="VWJ9" s="1"/>
      <c r="VWK9" s="1"/>
      <c r="VWL9" s="1"/>
      <c r="VWM9" s="1"/>
      <c r="VWN9" s="1"/>
      <c r="VWO9" s="1"/>
      <c r="VWP9" s="1"/>
      <c r="VWQ9" s="1"/>
      <c r="VWR9" s="1"/>
      <c r="VWS9" s="1"/>
      <c r="VWT9" s="1"/>
      <c r="VWU9" s="1"/>
      <c r="VWV9" s="1"/>
      <c r="VWW9" s="1"/>
      <c r="VWX9" s="1"/>
      <c r="VWY9" s="1"/>
      <c r="VWZ9" s="1"/>
      <c r="VXA9" s="1"/>
      <c r="VXB9" s="1"/>
      <c r="VXC9" s="1"/>
      <c r="VXD9" s="1"/>
      <c r="VXE9" s="1"/>
      <c r="VXF9" s="1"/>
      <c r="VXG9" s="1"/>
      <c r="VXH9" s="1"/>
      <c r="VXI9" s="1"/>
      <c r="VXJ9" s="1"/>
      <c r="VXK9" s="1"/>
      <c r="VXL9" s="1"/>
      <c r="VXM9" s="1"/>
      <c r="VXN9" s="1"/>
      <c r="VXO9" s="1"/>
      <c r="VXP9" s="1"/>
      <c r="VXQ9" s="1"/>
      <c r="VXR9" s="1"/>
      <c r="VXS9" s="1"/>
      <c r="VXT9" s="1"/>
      <c r="VXU9" s="1"/>
      <c r="VXV9" s="1"/>
      <c r="VXW9" s="1"/>
      <c r="VXX9" s="1"/>
      <c r="VXY9" s="1"/>
      <c r="VXZ9" s="1"/>
      <c r="VYA9" s="1"/>
      <c r="VYB9" s="1"/>
      <c r="VYC9" s="1"/>
      <c r="VYD9" s="1"/>
      <c r="VYE9" s="1"/>
      <c r="VYF9" s="1"/>
      <c r="VYG9" s="1"/>
      <c r="VYH9" s="1"/>
      <c r="VYI9" s="1"/>
      <c r="VYJ9" s="1"/>
      <c r="VYK9" s="1"/>
      <c r="VYL9" s="1"/>
      <c r="VYM9" s="1"/>
      <c r="VYN9" s="1"/>
      <c r="VYO9" s="1"/>
      <c r="VYP9" s="1"/>
      <c r="VYQ9" s="1"/>
      <c r="VYR9" s="1"/>
      <c r="VYS9" s="1"/>
      <c r="VYT9" s="1"/>
      <c r="VYU9" s="1"/>
      <c r="VYV9" s="1"/>
      <c r="VYW9" s="1"/>
      <c r="VYX9" s="1"/>
      <c r="VYY9" s="1"/>
      <c r="VYZ9" s="1"/>
      <c r="VZA9" s="1"/>
      <c r="VZB9" s="1"/>
      <c r="VZC9" s="1"/>
      <c r="VZD9" s="1"/>
      <c r="VZE9" s="1"/>
      <c r="VZF9" s="1"/>
      <c r="VZG9" s="1"/>
      <c r="VZH9" s="1"/>
      <c r="VZI9" s="1"/>
      <c r="VZJ9" s="1"/>
      <c r="VZK9" s="1"/>
      <c r="VZL9" s="1"/>
      <c r="VZM9" s="1"/>
      <c r="VZN9" s="1"/>
      <c r="VZO9" s="1"/>
      <c r="VZP9" s="1"/>
      <c r="VZQ9" s="1"/>
      <c r="VZR9" s="1"/>
      <c r="VZS9" s="1"/>
      <c r="VZT9" s="1"/>
      <c r="VZU9" s="1"/>
      <c r="VZV9" s="1"/>
      <c r="VZW9" s="1"/>
      <c r="VZX9" s="1"/>
      <c r="VZY9" s="1"/>
      <c r="VZZ9" s="1"/>
      <c r="WAA9" s="1"/>
      <c r="WAB9" s="1"/>
      <c r="WAC9" s="1"/>
      <c r="WAD9" s="1"/>
      <c r="WAE9" s="1"/>
      <c r="WAF9" s="1"/>
      <c r="WAG9" s="1"/>
      <c r="WAH9" s="1"/>
      <c r="WAI9" s="1"/>
      <c r="WAJ9" s="1"/>
      <c r="WAK9" s="1"/>
      <c r="WAL9" s="1"/>
      <c r="WAM9" s="1"/>
      <c r="WAN9" s="1"/>
      <c r="WAO9" s="1"/>
      <c r="WAP9" s="1"/>
      <c r="WAQ9" s="1"/>
      <c r="WAR9" s="1"/>
      <c r="WAS9" s="1"/>
      <c r="WAT9" s="1"/>
      <c r="WAU9" s="1"/>
      <c r="WAV9" s="1"/>
      <c r="WAW9" s="1"/>
      <c r="WAX9" s="1"/>
      <c r="WAY9" s="1"/>
      <c r="WAZ9" s="1"/>
      <c r="WBA9" s="1"/>
      <c r="WBB9" s="1"/>
      <c r="WBC9" s="1"/>
      <c r="WBD9" s="1"/>
      <c r="WBE9" s="1"/>
      <c r="WBF9" s="1"/>
      <c r="WBG9" s="1"/>
      <c r="WBH9" s="1"/>
      <c r="WBI9" s="1"/>
      <c r="WBJ9" s="1"/>
      <c r="WBK9" s="1"/>
      <c r="WBL9" s="1"/>
      <c r="WBM9" s="1"/>
      <c r="WBN9" s="1"/>
      <c r="WBO9" s="1"/>
      <c r="WBP9" s="1"/>
      <c r="WBQ9" s="1"/>
      <c r="WBR9" s="1"/>
      <c r="WBS9" s="1"/>
      <c r="WBT9" s="1"/>
      <c r="WBU9" s="1"/>
      <c r="WBV9" s="1"/>
      <c r="WBW9" s="1"/>
      <c r="WBX9" s="1"/>
      <c r="WBY9" s="1"/>
      <c r="WBZ9" s="1"/>
      <c r="WCA9" s="1"/>
      <c r="WCB9" s="1"/>
      <c r="WCC9" s="1"/>
      <c r="WCD9" s="1"/>
      <c r="WCE9" s="1"/>
      <c r="WCF9" s="1"/>
      <c r="WCG9" s="1"/>
      <c r="WCH9" s="1"/>
      <c r="WCI9" s="1"/>
      <c r="WCJ9" s="1"/>
      <c r="WCK9" s="1"/>
      <c r="WCL9" s="1"/>
      <c r="WCM9" s="1"/>
      <c r="WCN9" s="1"/>
      <c r="WCO9" s="1"/>
      <c r="WCP9" s="1"/>
      <c r="WCQ9" s="1"/>
      <c r="WCR9" s="1"/>
      <c r="WCS9" s="1"/>
      <c r="WCT9" s="1"/>
      <c r="WCU9" s="1"/>
      <c r="WCV9" s="1"/>
      <c r="WCW9" s="1"/>
      <c r="WCX9" s="1"/>
      <c r="WCY9" s="1"/>
      <c r="WCZ9" s="1"/>
      <c r="WDA9" s="1"/>
      <c r="WDB9" s="1"/>
      <c r="WDC9" s="1"/>
      <c r="WDD9" s="1"/>
      <c r="WDE9" s="1"/>
      <c r="WDF9" s="1"/>
      <c r="WDG9" s="1"/>
      <c r="WDH9" s="1"/>
      <c r="WDI9" s="1"/>
      <c r="WDJ9" s="1"/>
      <c r="WDK9" s="1"/>
      <c r="WDL9" s="1"/>
      <c r="WDM9" s="1"/>
      <c r="WDN9" s="1"/>
      <c r="WDO9" s="1"/>
      <c r="WDP9" s="1"/>
      <c r="WDQ9" s="1"/>
      <c r="WDR9" s="1"/>
      <c r="WDS9" s="1"/>
      <c r="WDT9" s="1"/>
      <c r="WDU9" s="1"/>
      <c r="WDV9" s="1"/>
      <c r="WDW9" s="1"/>
      <c r="WDX9" s="1"/>
      <c r="WDY9" s="1"/>
      <c r="WDZ9" s="1"/>
      <c r="WEA9" s="1"/>
      <c r="WEB9" s="1"/>
      <c r="WEC9" s="1"/>
      <c r="WED9" s="1"/>
      <c r="WEE9" s="1"/>
      <c r="WEF9" s="1"/>
      <c r="WEG9" s="1"/>
      <c r="WEH9" s="1"/>
      <c r="WEI9" s="1"/>
      <c r="WEJ9" s="1"/>
      <c r="WEK9" s="1"/>
      <c r="WEL9" s="1"/>
      <c r="WEM9" s="1"/>
      <c r="WEN9" s="1"/>
      <c r="WEO9" s="1"/>
      <c r="WEP9" s="1"/>
      <c r="WEQ9" s="1"/>
      <c r="WER9" s="1"/>
      <c r="WES9" s="1"/>
      <c r="WET9" s="1"/>
      <c r="WEU9" s="1"/>
      <c r="WEV9" s="1"/>
      <c r="WEW9" s="1"/>
      <c r="WEX9" s="1"/>
      <c r="WEY9" s="1"/>
      <c r="WEZ9" s="1"/>
      <c r="WFA9" s="1"/>
      <c r="WFB9" s="1"/>
      <c r="WFC9" s="1"/>
      <c r="WFD9" s="1"/>
      <c r="WFE9" s="1"/>
      <c r="WFF9" s="1"/>
      <c r="WFG9" s="1"/>
      <c r="WFH9" s="1"/>
      <c r="WFI9" s="1"/>
      <c r="WFJ9" s="1"/>
      <c r="WFK9" s="1"/>
      <c r="WFL9" s="1"/>
      <c r="WFM9" s="1"/>
      <c r="WFN9" s="1"/>
      <c r="WFO9" s="1"/>
      <c r="WFP9" s="1"/>
      <c r="WFQ9" s="1"/>
      <c r="WFR9" s="1"/>
      <c r="WFS9" s="1"/>
      <c r="WFT9" s="1"/>
      <c r="WFU9" s="1"/>
      <c r="WFV9" s="1"/>
      <c r="WFW9" s="1"/>
      <c r="WFX9" s="1"/>
      <c r="WFY9" s="1"/>
      <c r="WFZ9" s="1"/>
      <c r="WGA9" s="1"/>
      <c r="WGB9" s="1"/>
      <c r="WGC9" s="1"/>
      <c r="WGD9" s="1"/>
      <c r="WGE9" s="1"/>
      <c r="WGF9" s="1"/>
      <c r="WGG9" s="1"/>
      <c r="WGH9" s="1"/>
      <c r="WGI9" s="1"/>
      <c r="WGJ9" s="1"/>
      <c r="WGK9" s="1"/>
      <c r="WGL9" s="1"/>
      <c r="WGM9" s="1"/>
      <c r="WGN9" s="1"/>
      <c r="WGO9" s="1"/>
      <c r="WGP9" s="1"/>
      <c r="WGQ9" s="1"/>
      <c r="WGR9" s="1"/>
      <c r="WGS9" s="1"/>
      <c r="WGT9" s="1"/>
      <c r="WGU9" s="1"/>
      <c r="WGV9" s="1"/>
      <c r="WGW9" s="1"/>
      <c r="WGX9" s="1"/>
      <c r="WGY9" s="1"/>
      <c r="WGZ9" s="1"/>
      <c r="WHA9" s="1"/>
      <c r="WHB9" s="1"/>
      <c r="WHC9" s="1"/>
      <c r="WHD9" s="1"/>
      <c r="WHE9" s="1"/>
      <c r="WHF9" s="1"/>
      <c r="WHG9" s="1"/>
      <c r="WHH9" s="1"/>
      <c r="WHI9" s="1"/>
      <c r="WHJ9" s="1"/>
      <c r="WHK9" s="1"/>
      <c r="WHL9" s="1"/>
      <c r="WHM9" s="1"/>
      <c r="WHN9" s="1"/>
      <c r="WHO9" s="1"/>
      <c r="WHP9" s="1"/>
      <c r="WHQ9" s="1"/>
      <c r="WHR9" s="1"/>
      <c r="WHS9" s="1"/>
      <c r="WHT9" s="1"/>
      <c r="WHU9" s="1"/>
      <c r="WHV9" s="1"/>
      <c r="WHW9" s="1"/>
      <c r="WHX9" s="1"/>
      <c r="WHY9" s="1"/>
      <c r="WHZ9" s="1"/>
      <c r="WIA9" s="1"/>
      <c r="WIB9" s="1"/>
      <c r="WIC9" s="1"/>
      <c r="WID9" s="1"/>
      <c r="WIE9" s="1"/>
      <c r="WIF9" s="1"/>
      <c r="WIG9" s="1"/>
      <c r="WIH9" s="1"/>
      <c r="WII9" s="1"/>
      <c r="WIJ9" s="1"/>
      <c r="WIK9" s="1"/>
      <c r="WIL9" s="1"/>
      <c r="WIM9" s="1"/>
      <c r="WIN9" s="1"/>
      <c r="WIO9" s="1"/>
      <c r="WIP9" s="1"/>
      <c r="WIQ9" s="1"/>
      <c r="WIR9" s="1"/>
      <c r="WIS9" s="1"/>
      <c r="WIT9" s="1"/>
      <c r="WIU9" s="1"/>
      <c r="WIV9" s="1"/>
      <c r="WIW9" s="1"/>
      <c r="WIX9" s="1"/>
      <c r="WIY9" s="1"/>
      <c r="WIZ9" s="1"/>
      <c r="WJA9" s="1"/>
      <c r="WJB9" s="1"/>
      <c r="WJC9" s="1"/>
      <c r="WJD9" s="1"/>
      <c r="WJE9" s="1"/>
      <c r="WJF9" s="1"/>
      <c r="WJG9" s="1"/>
      <c r="WJH9" s="1"/>
      <c r="WJI9" s="1"/>
      <c r="WJJ9" s="1"/>
      <c r="WJK9" s="1"/>
      <c r="WJL9" s="1"/>
      <c r="WJM9" s="1"/>
      <c r="WJN9" s="1"/>
      <c r="WJO9" s="1"/>
      <c r="WJP9" s="1"/>
      <c r="WJQ9" s="1"/>
      <c r="WJR9" s="1"/>
      <c r="WJS9" s="1"/>
      <c r="WJT9" s="1"/>
      <c r="WJU9" s="1"/>
      <c r="WJV9" s="1"/>
      <c r="WJW9" s="1"/>
      <c r="WJX9" s="1"/>
      <c r="WJY9" s="1"/>
      <c r="WJZ9" s="1"/>
      <c r="WKA9" s="1"/>
      <c r="WKB9" s="1"/>
      <c r="WKC9" s="1"/>
      <c r="WKD9" s="1"/>
      <c r="WKE9" s="1"/>
      <c r="WKF9" s="1"/>
      <c r="WKG9" s="1"/>
      <c r="WKH9" s="1"/>
      <c r="WKI9" s="1"/>
      <c r="WKJ9" s="1"/>
      <c r="WKK9" s="1"/>
      <c r="WKL9" s="1"/>
      <c r="WKM9" s="1"/>
      <c r="WKN9" s="1"/>
      <c r="WKO9" s="1"/>
      <c r="WKP9" s="1"/>
      <c r="WKQ9" s="1"/>
      <c r="WKR9" s="1"/>
      <c r="WKS9" s="1"/>
      <c r="WKT9" s="1"/>
      <c r="WKU9" s="1"/>
      <c r="WKV9" s="1"/>
      <c r="WKW9" s="1"/>
      <c r="WKX9" s="1"/>
      <c r="WKY9" s="1"/>
      <c r="WKZ9" s="1"/>
      <c r="WLA9" s="1"/>
      <c r="WLB9" s="1"/>
      <c r="WLC9" s="1"/>
      <c r="WLD9" s="1"/>
      <c r="WLE9" s="1"/>
      <c r="WLF9" s="1"/>
      <c r="WLG9" s="1"/>
      <c r="WLH9" s="1"/>
      <c r="WLI9" s="1"/>
      <c r="WLJ9" s="1"/>
      <c r="WLK9" s="1"/>
      <c r="WLL9" s="1"/>
      <c r="WLM9" s="1"/>
      <c r="WLN9" s="1"/>
      <c r="WLO9" s="1"/>
      <c r="WLP9" s="1"/>
      <c r="WLQ9" s="1"/>
      <c r="WLR9" s="1"/>
      <c r="WLS9" s="1"/>
      <c r="WLT9" s="1"/>
      <c r="WLU9" s="1"/>
      <c r="WLV9" s="1"/>
      <c r="WLW9" s="1"/>
      <c r="WLX9" s="1"/>
      <c r="WLY9" s="1"/>
      <c r="WLZ9" s="1"/>
      <c r="WMA9" s="1"/>
      <c r="WMB9" s="1"/>
      <c r="WMC9" s="1"/>
      <c r="WMD9" s="1"/>
      <c r="WME9" s="1"/>
      <c r="WMF9" s="1"/>
      <c r="WMG9" s="1"/>
      <c r="WMH9" s="1"/>
      <c r="WMI9" s="1"/>
      <c r="WMJ9" s="1"/>
      <c r="WMK9" s="1"/>
      <c r="WML9" s="1"/>
      <c r="WMM9" s="1"/>
      <c r="WMN9" s="1"/>
      <c r="WMO9" s="1"/>
      <c r="WMP9" s="1"/>
      <c r="WMQ9" s="1"/>
      <c r="WMR9" s="1"/>
      <c r="WMS9" s="1"/>
      <c r="WMT9" s="1"/>
      <c r="WMU9" s="1"/>
      <c r="WMV9" s="1"/>
      <c r="WMW9" s="1"/>
      <c r="WMX9" s="1"/>
      <c r="WMY9" s="1"/>
      <c r="WMZ9" s="1"/>
      <c r="WNA9" s="1"/>
      <c r="WNB9" s="1"/>
      <c r="WNC9" s="1"/>
      <c r="WND9" s="1"/>
      <c r="WNE9" s="1"/>
      <c r="WNF9" s="1"/>
      <c r="WNG9" s="1"/>
      <c r="WNH9" s="1"/>
      <c r="WNI9" s="1"/>
      <c r="WNJ9" s="1"/>
      <c r="WNK9" s="1"/>
      <c r="WNL9" s="1"/>
      <c r="WNM9" s="1"/>
      <c r="WNN9" s="1"/>
      <c r="WNO9" s="1"/>
      <c r="WNP9" s="1"/>
      <c r="WNQ9" s="1"/>
      <c r="WNR9" s="1"/>
      <c r="WNS9" s="1"/>
      <c r="WNT9" s="1"/>
      <c r="WNU9" s="1"/>
      <c r="WNV9" s="1"/>
      <c r="WNW9" s="1"/>
      <c r="WNX9" s="1"/>
      <c r="WNY9" s="1"/>
      <c r="WNZ9" s="1"/>
      <c r="WOA9" s="1"/>
      <c r="WOB9" s="1"/>
      <c r="WOC9" s="1"/>
      <c r="WOD9" s="1"/>
      <c r="WOE9" s="1"/>
      <c r="WOF9" s="1"/>
      <c r="WOG9" s="1"/>
      <c r="WOH9" s="1"/>
      <c r="WOI9" s="1"/>
      <c r="WOJ9" s="1"/>
      <c r="WOK9" s="1"/>
      <c r="WOL9" s="1"/>
      <c r="WOM9" s="1"/>
      <c r="WON9" s="1"/>
      <c r="WOO9" s="1"/>
      <c r="WOP9" s="1"/>
      <c r="WOQ9" s="1"/>
      <c r="WOR9" s="1"/>
      <c r="WOS9" s="1"/>
      <c r="WOT9" s="1"/>
      <c r="WOU9" s="1"/>
      <c r="WOV9" s="1"/>
      <c r="WOW9" s="1"/>
      <c r="WOX9" s="1"/>
      <c r="WOY9" s="1"/>
      <c r="WOZ9" s="1"/>
      <c r="WPA9" s="1"/>
      <c r="WPB9" s="1"/>
      <c r="WPC9" s="1"/>
      <c r="WPD9" s="1"/>
      <c r="WPE9" s="1"/>
      <c r="WPF9" s="1"/>
      <c r="WPG9" s="1"/>
      <c r="WPH9" s="1"/>
      <c r="WPI9" s="1"/>
      <c r="WPJ9" s="1"/>
      <c r="WPK9" s="1"/>
      <c r="WPL9" s="1"/>
      <c r="WPM9" s="1"/>
      <c r="WPN9" s="1"/>
      <c r="WPO9" s="1"/>
      <c r="WPP9" s="1"/>
      <c r="WPQ9" s="1"/>
      <c r="WPR9" s="1"/>
      <c r="WPS9" s="1"/>
      <c r="WPT9" s="1"/>
      <c r="WPU9" s="1"/>
      <c r="WPV9" s="1"/>
      <c r="WPW9" s="1"/>
      <c r="WPX9" s="1"/>
      <c r="WPY9" s="1"/>
      <c r="WPZ9" s="1"/>
      <c r="WQA9" s="1"/>
      <c r="WQB9" s="1"/>
      <c r="WQC9" s="1"/>
      <c r="WQD9" s="1"/>
      <c r="WQE9" s="1"/>
      <c r="WQF9" s="1"/>
      <c r="WQG9" s="1"/>
      <c r="WQH9" s="1"/>
      <c r="WQI9" s="1"/>
      <c r="WQJ9" s="1"/>
      <c r="WQK9" s="1"/>
      <c r="WQL9" s="1"/>
      <c r="WQM9" s="1"/>
      <c r="WQN9" s="1"/>
      <c r="WQO9" s="1"/>
      <c r="WQP9" s="1"/>
      <c r="WQQ9" s="1"/>
      <c r="WQR9" s="1"/>
      <c r="WQS9" s="1"/>
      <c r="WQT9" s="1"/>
      <c r="WQU9" s="1"/>
      <c r="WQV9" s="1"/>
      <c r="WQW9" s="1"/>
      <c r="WQX9" s="1"/>
      <c r="WQY9" s="1"/>
      <c r="WQZ9" s="1"/>
      <c r="WRA9" s="1"/>
      <c r="WRB9" s="1"/>
      <c r="WRC9" s="1"/>
      <c r="WRD9" s="1"/>
      <c r="WRE9" s="1"/>
      <c r="WRF9" s="1"/>
      <c r="WRG9" s="1"/>
      <c r="WRH9" s="1"/>
      <c r="WRI9" s="1"/>
      <c r="WRJ9" s="1"/>
      <c r="WRK9" s="1"/>
      <c r="WRL9" s="1"/>
      <c r="WRM9" s="1"/>
      <c r="WRN9" s="1"/>
      <c r="WRO9" s="1"/>
      <c r="WRP9" s="1"/>
      <c r="WRQ9" s="1"/>
      <c r="WRR9" s="1"/>
      <c r="WRS9" s="1"/>
      <c r="WRT9" s="1"/>
      <c r="WRU9" s="1"/>
      <c r="WRV9" s="1"/>
      <c r="WRW9" s="1"/>
      <c r="WRX9" s="1"/>
      <c r="WRY9" s="1"/>
      <c r="WRZ9" s="1"/>
      <c r="WSA9" s="1"/>
      <c r="WSB9" s="1"/>
      <c r="WSC9" s="1"/>
      <c r="WSD9" s="1"/>
      <c r="WSE9" s="1"/>
      <c r="WSF9" s="1"/>
      <c r="WSG9" s="1"/>
      <c r="WSH9" s="1"/>
      <c r="WSI9" s="1"/>
      <c r="WSJ9" s="1"/>
      <c r="WSK9" s="1"/>
      <c r="WSL9" s="1"/>
      <c r="WSM9" s="1"/>
      <c r="WSN9" s="1"/>
      <c r="WSO9" s="1"/>
      <c r="WSP9" s="1"/>
      <c r="WSQ9" s="1"/>
      <c r="WSR9" s="1"/>
      <c r="WSS9" s="1"/>
      <c r="WST9" s="1"/>
      <c r="WSU9" s="1"/>
      <c r="WSV9" s="1"/>
      <c r="WSW9" s="1"/>
      <c r="WSX9" s="1"/>
      <c r="WSY9" s="1"/>
      <c r="WSZ9" s="1"/>
      <c r="WTA9" s="1"/>
      <c r="WTB9" s="1"/>
      <c r="WTC9" s="1"/>
      <c r="WTD9" s="1"/>
      <c r="WTE9" s="1"/>
      <c r="WTF9" s="1"/>
      <c r="WTG9" s="1"/>
      <c r="WTH9" s="1"/>
      <c r="WTI9" s="1"/>
      <c r="WTJ9" s="1"/>
      <c r="WTK9" s="1"/>
      <c r="WTL9" s="1"/>
      <c r="WTM9" s="1"/>
      <c r="WTN9" s="1"/>
      <c r="WTO9" s="1"/>
      <c r="WTP9" s="1"/>
      <c r="WTQ9" s="1"/>
      <c r="WTR9" s="1"/>
      <c r="WTS9" s="1"/>
      <c r="WTT9" s="1"/>
      <c r="WTU9" s="1"/>
      <c r="WTV9" s="1"/>
      <c r="WTW9" s="1"/>
      <c r="WTX9" s="1"/>
      <c r="WTY9" s="1"/>
      <c r="WTZ9" s="1"/>
      <c r="WUA9" s="1"/>
      <c r="WUB9" s="1"/>
      <c r="WUC9" s="1"/>
      <c r="WUD9" s="1"/>
      <c r="WUE9" s="1"/>
      <c r="WUF9" s="1"/>
      <c r="WUG9" s="1"/>
      <c r="WUH9" s="1"/>
      <c r="WUI9" s="1"/>
      <c r="WUJ9" s="1"/>
      <c r="WUK9" s="1"/>
      <c r="WUL9" s="1"/>
      <c r="WUM9" s="1"/>
      <c r="WUN9" s="1"/>
      <c r="WUO9" s="1"/>
      <c r="WUP9" s="1"/>
      <c r="WUQ9" s="1"/>
      <c r="WUR9" s="1"/>
      <c r="WUS9" s="1"/>
      <c r="WUT9" s="1"/>
      <c r="WUU9" s="1"/>
      <c r="WUV9" s="1"/>
      <c r="WUW9" s="1"/>
      <c r="WUX9" s="1"/>
      <c r="WUY9" s="1"/>
      <c r="WUZ9" s="1"/>
      <c r="WVA9" s="1"/>
      <c r="WVB9" s="1"/>
      <c r="WVC9" s="1"/>
      <c r="WVD9" s="1"/>
      <c r="WVE9" s="1"/>
      <c r="WVF9" s="1"/>
      <c r="WVG9" s="1"/>
      <c r="WVH9" s="1"/>
      <c r="WVI9" s="1"/>
      <c r="WVJ9" s="1"/>
      <c r="WVK9" s="1"/>
      <c r="WVL9" s="1"/>
      <c r="WVM9" s="1"/>
      <c r="WVN9" s="1"/>
      <c r="WVO9" s="1"/>
      <c r="WVP9" s="1"/>
      <c r="WVQ9" s="1"/>
      <c r="WVR9" s="1"/>
      <c r="WVS9" s="1"/>
      <c r="WVT9" s="1"/>
      <c r="WVU9" s="1"/>
      <c r="WVV9" s="1"/>
      <c r="WVW9" s="1"/>
      <c r="WVX9" s="1"/>
      <c r="WVY9" s="1"/>
      <c r="WVZ9" s="1"/>
      <c r="WWA9" s="1"/>
      <c r="WWB9" s="1"/>
      <c r="WWC9" s="1"/>
      <c r="WWD9" s="1"/>
      <c r="WWE9" s="1"/>
      <c r="WWF9" s="1"/>
      <c r="WWG9" s="1"/>
      <c r="WWH9" s="1"/>
      <c r="WWI9" s="1"/>
      <c r="WWJ9" s="1"/>
      <c r="WWK9" s="1"/>
      <c r="WWL9" s="1"/>
      <c r="WWM9" s="1"/>
      <c r="WWN9" s="1"/>
      <c r="WWO9" s="1"/>
      <c r="WWP9" s="1"/>
      <c r="WWQ9" s="1"/>
      <c r="WWR9" s="1"/>
      <c r="WWS9" s="1"/>
      <c r="WWT9" s="1"/>
      <c r="WWU9" s="1"/>
      <c r="WWV9" s="1"/>
      <c r="WWW9" s="1"/>
      <c r="WWX9" s="1"/>
      <c r="WWY9" s="1"/>
      <c r="WWZ9" s="1"/>
      <c r="WXA9" s="1"/>
      <c r="WXB9" s="1"/>
      <c r="WXC9" s="1"/>
      <c r="WXD9" s="1"/>
      <c r="WXE9" s="1"/>
      <c r="WXF9" s="1"/>
      <c r="WXG9" s="1"/>
      <c r="WXH9" s="1"/>
      <c r="WXI9" s="1"/>
      <c r="WXJ9" s="1"/>
      <c r="WXK9" s="1"/>
      <c r="WXL9" s="1"/>
      <c r="WXM9" s="1"/>
      <c r="WXN9" s="1"/>
      <c r="WXO9" s="1"/>
      <c r="WXP9" s="1"/>
      <c r="WXQ9" s="1"/>
      <c r="WXR9" s="1"/>
      <c r="WXS9" s="1"/>
      <c r="WXT9" s="1"/>
      <c r="WXU9" s="1"/>
      <c r="WXV9" s="1"/>
      <c r="WXW9" s="1"/>
      <c r="WXX9" s="1"/>
      <c r="WXY9" s="1"/>
      <c r="WXZ9" s="1"/>
      <c r="WYA9" s="1"/>
      <c r="WYB9" s="1"/>
      <c r="WYC9" s="1"/>
      <c r="WYD9" s="1"/>
      <c r="WYE9" s="1"/>
      <c r="WYF9" s="1"/>
      <c r="WYG9" s="1"/>
      <c r="WYH9" s="1"/>
      <c r="WYI9" s="1"/>
      <c r="WYJ9" s="1"/>
      <c r="WYK9" s="1"/>
      <c r="WYL9" s="1"/>
      <c r="WYM9" s="1"/>
      <c r="WYN9" s="1"/>
      <c r="WYO9" s="1"/>
      <c r="WYP9" s="1"/>
      <c r="WYQ9" s="1"/>
      <c r="WYR9" s="1"/>
      <c r="WYS9" s="1"/>
      <c r="WYT9" s="1"/>
      <c r="WYU9" s="1"/>
      <c r="WYV9" s="1"/>
      <c r="WYW9" s="1"/>
      <c r="WYX9" s="1"/>
      <c r="WYY9" s="1"/>
      <c r="WYZ9" s="1"/>
      <c r="WZA9" s="1"/>
      <c r="WZB9" s="1"/>
      <c r="WZC9" s="1"/>
      <c r="WZD9" s="1"/>
      <c r="WZE9" s="1"/>
      <c r="WZF9" s="1"/>
      <c r="WZG9" s="1"/>
      <c r="WZH9" s="1"/>
      <c r="WZI9" s="1"/>
      <c r="WZJ9" s="1"/>
      <c r="WZK9" s="1"/>
      <c r="WZL9" s="1"/>
      <c r="WZM9" s="1"/>
      <c r="WZN9" s="1"/>
      <c r="WZO9" s="1"/>
      <c r="WZP9" s="1"/>
      <c r="WZQ9" s="1"/>
      <c r="WZR9" s="1"/>
      <c r="WZS9" s="1"/>
      <c r="WZT9" s="1"/>
      <c r="WZU9" s="1"/>
      <c r="WZV9" s="1"/>
      <c r="WZW9" s="1"/>
      <c r="WZX9" s="1"/>
      <c r="WZY9" s="1"/>
      <c r="WZZ9" s="1"/>
      <c r="XAA9" s="1"/>
      <c r="XAB9" s="1"/>
      <c r="XAC9" s="1"/>
      <c r="XAD9" s="1"/>
      <c r="XAE9" s="1"/>
      <c r="XAF9" s="1"/>
      <c r="XAG9" s="1"/>
      <c r="XAH9" s="1"/>
      <c r="XAI9" s="1"/>
      <c r="XAJ9" s="1"/>
      <c r="XAK9" s="1"/>
      <c r="XAL9" s="1"/>
      <c r="XAM9" s="1"/>
      <c r="XAN9" s="1"/>
      <c r="XAO9" s="1"/>
      <c r="XAP9" s="1"/>
      <c r="XAQ9" s="1"/>
      <c r="XAR9" s="1"/>
      <c r="XAS9" s="1"/>
      <c r="XAT9" s="1"/>
      <c r="XAU9" s="1"/>
      <c r="XAV9" s="1"/>
      <c r="XAW9" s="1"/>
      <c r="XAX9" s="1"/>
      <c r="XAY9" s="1"/>
      <c r="XAZ9" s="1"/>
      <c r="XBA9" s="1"/>
      <c r="XBB9" s="1"/>
      <c r="XBC9" s="1"/>
      <c r="XBD9" s="1"/>
      <c r="XBE9" s="1"/>
      <c r="XBF9" s="1"/>
      <c r="XBG9" s="1"/>
      <c r="XBH9" s="1"/>
      <c r="XBI9" s="1"/>
      <c r="XBJ9" s="1"/>
      <c r="XBK9" s="1"/>
      <c r="XBL9" s="1"/>
      <c r="XBM9" s="1"/>
      <c r="XBN9" s="1"/>
      <c r="XBO9" s="1"/>
      <c r="XBP9" s="1"/>
      <c r="XBQ9" s="1"/>
      <c r="XBR9" s="1"/>
      <c r="XBS9" s="1"/>
      <c r="XBT9" s="1"/>
      <c r="XBU9" s="1"/>
      <c r="XBV9" s="1"/>
      <c r="XBW9" s="1"/>
      <c r="XBX9" s="1"/>
      <c r="XBY9" s="1"/>
      <c r="XBZ9" s="1"/>
      <c r="XCA9" s="1"/>
      <c r="XCB9" s="1"/>
      <c r="XCC9" s="1"/>
      <c r="XCD9" s="1"/>
      <c r="XCE9" s="1"/>
      <c r="XCF9" s="1"/>
      <c r="XCG9" s="1"/>
      <c r="XCH9" s="1"/>
      <c r="XCI9" s="1"/>
      <c r="XCJ9" s="1"/>
      <c r="XCK9" s="1"/>
      <c r="XCL9" s="1"/>
      <c r="XCM9" s="1"/>
      <c r="XCN9" s="1"/>
      <c r="XCO9" s="1"/>
      <c r="XCP9" s="1"/>
      <c r="XCQ9" s="1"/>
      <c r="XCR9" s="1"/>
      <c r="XCS9" s="1"/>
      <c r="XCT9" s="1"/>
      <c r="XCU9" s="1"/>
      <c r="XCV9" s="1"/>
      <c r="XCW9" s="1"/>
      <c r="XCX9" s="1"/>
      <c r="XCY9" s="1"/>
      <c r="XCZ9" s="1"/>
      <c r="XDA9" s="1"/>
      <c r="XDB9" s="1"/>
      <c r="XDC9" s="1"/>
      <c r="XDD9" s="1"/>
      <c r="XDE9" s="1"/>
      <c r="XDF9" s="1"/>
      <c r="XDG9" s="1"/>
      <c r="XDH9" s="1"/>
      <c r="XDI9" s="1"/>
      <c r="XDJ9" s="1"/>
      <c r="XDK9" s="1"/>
      <c r="XDL9" s="1"/>
      <c r="XDM9" s="1"/>
      <c r="XDN9" s="1"/>
      <c r="XDO9" s="1"/>
      <c r="XDP9" s="1"/>
      <c r="XDQ9" s="1"/>
      <c r="XDR9" s="1"/>
      <c r="XDS9" s="1"/>
      <c r="XDT9" s="1"/>
      <c r="XDU9" s="1"/>
      <c r="XDV9" s="1"/>
      <c r="XDW9" s="1"/>
      <c r="XDX9" s="1"/>
      <c r="XDY9" s="1"/>
      <c r="XDZ9" s="1"/>
      <c r="XEA9" s="1"/>
      <c r="XEB9" s="1"/>
      <c r="XEC9" s="1"/>
      <c r="XED9" s="1"/>
      <c r="XEE9" s="1"/>
      <c r="XEF9" s="1"/>
      <c r="XEG9" s="1"/>
      <c r="XEH9" s="1"/>
      <c r="XEI9" s="1"/>
      <c r="XEJ9" s="1"/>
      <c r="XEK9" s="1"/>
      <c r="XEL9" s="1"/>
      <c r="XEM9" s="1"/>
      <c r="XEN9" s="1"/>
      <c r="XEO9" s="1"/>
      <c r="XEP9" s="1"/>
      <c r="XEQ9" s="1"/>
      <c r="XER9" s="1"/>
      <c r="XES9" s="1"/>
      <c r="XET9" s="1"/>
      <c r="XEU9" s="1"/>
      <c r="XEV9" s="1"/>
      <c r="XEW9" s="1"/>
      <c r="XEX9" s="1"/>
      <c r="XEY9" s="1"/>
      <c r="XEZ9" s="1"/>
      <c r="XFA9" s="1"/>
      <c r="XFB9" s="1"/>
      <c r="XFC9" s="1"/>
      <c r="XFD9" s="1"/>
    </row>
    <row r="10" spans="1:198 13812:16384" s="142" customFormat="1" ht="33" customHeight="1" x14ac:dyDescent="0.25">
      <c r="A10" s="41"/>
      <c r="B10" s="140" t="s">
        <v>2</v>
      </c>
      <c r="C10" s="140" t="s">
        <v>106</v>
      </c>
      <c r="D10" s="140" t="s">
        <v>107</v>
      </c>
      <c r="E10" s="140" t="s">
        <v>108</v>
      </c>
      <c r="F10" s="140" t="s">
        <v>443</v>
      </c>
      <c r="G10" s="140" t="s">
        <v>444</v>
      </c>
      <c r="H10" s="140" t="s">
        <v>445</v>
      </c>
      <c r="I10" s="140" t="s">
        <v>451</v>
      </c>
      <c r="J10" s="140" t="s">
        <v>452</v>
      </c>
      <c r="K10" s="140" t="s">
        <v>453</v>
      </c>
      <c r="L10" s="140" t="s">
        <v>109</v>
      </c>
      <c r="M10" s="140" t="s">
        <v>509</v>
      </c>
      <c r="N10" s="140" t="s">
        <v>118</v>
      </c>
      <c r="O10" s="105" t="s">
        <v>159</v>
      </c>
      <c r="P10" s="140" t="s">
        <v>160</v>
      </c>
      <c r="Q10" s="140" t="s">
        <v>161</v>
      </c>
      <c r="R10" s="140" t="s">
        <v>162</v>
      </c>
      <c r="S10" s="140" t="s">
        <v>163</v>
      </c>
      <c r="Y10" s="137" t="s">
        <v>212</v>
      </c>
      <c r="Z10" s="132" t="s">
        <v>434</v>
      </c>
      <c r="AA10" s="136" t="s">
        <v>435</v>
      </c>
      <c r="AB10" s="141" t="s">
        <v>151</v>
      </c>
      <c r="AC10" s="141" t="s">
        <v>152</v>
      </c>
      <c r="AD10" s="141"/>
      <c r="AF10" s="142" t="s">
        <v>511</v>
      </c>
      <c r="AH10" s="141"/>
      <c r="AI10" s="177"/>
      <c r="AK10" s="142" t="s">
        <v>535</v>
      </c>
      <c r="AL10" s="142" t="s">
        <v>538</v>
      </c>
      <c r="AM10" s="142" t="s">
        <v>536</v>
      </c>
      <c r="AN10" s="142" t="s">
        <v>537</v>
      </c>
      <c r="AO10" s="142" t="s">
        <v>539</v>
      </c>
      <c r="AP10" s="142" t="s">
        <v>540</v>
      </c>
      <c r="AS10" s="142" t="s">
        <v>525</v>
      </c>
      <c r="AV10" s="1"/>
      <c r="AW10" s="1" t="s">
        <v>805</v>
      </c>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pans="1:198 13812:16384" x14ac:dyDescent="0.2">
      <c r="A11" s="1" t="s">
        <v>751</v>
      </c>
      <c r="C11" s="24"/>
      <c r="D11" s="24"/>
      <c r="E11" s="24"/>
      <c r="F11" s="24"/>
      <c r="G11" s="24"/>
      <c r="H11" s="24"/>
      <c r="I11" s="24"/>
      <c r="J11" s="24"/>
      <c r="K11" s="24"/>
      <c r="M11" s="9"/>
      <c r="N11" s="9"/>
      <c r="O11" s="32"/>
      <c r="P11" s="20"/>
      <c r="Q11" s="20"/>
      <c r="R11" s="20"/>
      <c r="S11" s="20"/>
      <c r="T11" s="20"/>
      <c r="U11" s="20"/>
      <c r="V11" s="20"/>
      <c r="W11" s="20"/>
      <c r="X11" s="20"/>
      <c r="Y11" s="30"/>
      <c r="Z11" s="147">
        <f>AVERAGE(Soil_Detailed!J8,Soil_Detailed!J12,Soil_Detailed!J13,Soil_Detailed!J14)</f>
        <v>6.8592973637268254E-2</v>
      </c>
      <c r="AA11" s="20">
        <f t="shared" ref="AA11:AA12" si="0">Z11*0.15</f>
        <v>1.0288946045590238E-2</v>
      </c>
    </row>
    <row r="12" spans="1:198 13812:16384" x14ac:dyDescent="0.2">
      <c r="A12" s="1" t="s">
        <v>752</v>
      </c>
      <c r="C12" s="24"/>
      <c r="D12" s="24"/>
      <c r="E12" s="24"/>
      <c r="F12" s="24"/>
      <c r="G12" s="24"/>
      <c r="H12" s="24"/>
      <c r="I12" s="24"/>
      <c r="J12" s="24"/>
      <c r="K12" s="24"/>
      <c r="M12" s="9"/>
      <c r="N12" s="9"/>
      <c r="O12" s="32"/>
      <c r="P12" s="20"/>
      <c r="Q12" s="20"/>
      <c r="R12" s="20"/>
      <c r="S12" s="20"/>
      <c r="T12" s="20"/>
      <c r="U12" s="20"/>
      <c r="V12" s="20"/>
      <c r="W12" s="20"/>
      <c r="X12" s="20"/>
      <c r="Y12" s="30"/>
      <c r="Z12" s="147">
        <f>AVERAGE(Soil_Detailed!J33,Soil_Detailed!J35,Soil_Detailed!J36,Soil_Detailed!J38,Soil_Detailed!J40)</f>
        <v>4.3806464368575868E-2</v>
      </c>
      <c r="AA12" s="20">
        <f t="shared" si="0"/>
        <v>6.5709696552863801E-3</v>
      </c>
    </row>
    <row r="13" spans="1:198 13812:16384" x14ac:dyDescent="0.2">
      <c r="A13" s="1" t="s">
        <v>753</v>
      </c>
      <c r="C13" s="24"/>
      <c r="D13" s="24"/>
      <c r="E13" s="24"/>
      <c r="F13" s="24"/>
      <c r="G13" s="24"/>
      <c r="H13" s="24"/>
      <c r="I13" s="24"/>
      <c r="J13" s="24"/>
      <c r="K13" s="24"/>
      <c r="M13" s="9"/>
      <c r="N13" s="9"/>
      <c r="O13" s="32"/>
      <c r="P13" s="20"/>
      <c r="Q13" s="20"/>
      <c r="R13" s="20"/>
      <c r="S13" s="20"/>
      <c r="T13" s="20"/>
      <c r="U13" s="20"/>
      <c r="V13" s="20"/>
      <c r="W13" s="20"/>
      <c r="X13" s="20"/>
      <c r="Y13" s="30"/>
      <c r="Z13" s="147">
        <f>Soil_Detailed!J58</f>
        <v>7.6020978797797734E-2</v>
      </c>
      <c r="AA13" s="20">
        <f>Z13*0.15</f>
        <v>1.140314681966966E-2</v>
      </c>
    </row>
    <row r="14" spans="1:198 13812:16384" x14ac:dyDescent="0.2">
      <c r="A14" s="1" t="s">
        <v>448</v>
      </c>
      <c r="C14" s="24"/>
      <c r="D14" s="24"/>
      <c r="E14" s="24"/>
      <c r="F14" s="24"/>
      <c r="G14" s="24"/>
      <c r="H14" s="24"/>
      <c r="I14" s="24"/>
      <c r="J14" s="24"/>
      <c r="K14" s="24"/>
      <c r="M14" s="9"/>
      <c r="N14" s="9"/>
      <c r="O14" s="32"/>
      <c r="P14" s="20"/>
      <c r="Q14" s="20"/>
      <c r="R14" s="20"/>
      <c r="S14" s="20"/>
      <c r="T14" s="20"/>
      <c r="U14" s="20"/>
      <c r="V14" s="20"/>
      <c r="W14" s="20"/>
      <c r="X14" s="20"/>
      <c r="Y14" s="30"/>
      <c r="Z14" s="20">
        <f>AVERAGE(Soil_Detailed!J8:J14)</f>
        <v>1.0375584848053914</v>
      </c>
      <c r="AA14" s="20">
        <f t="shared" ref="AA14:AA16" si="1">Z14*0.15</f>
        <v>0.15563377272080869</v>
      </c>
      <c r="BA14" s="1" t="s">
        <v>809</v>
      </c>
      <c r="BB14" s="1">
        <v>330000</v>
      </c>
    </row>
    <row r="15" spans="1:198 13812:16384" x14ac:dyDescent="0.2">
      <c r="A15" s="1" t="s">
        <v>450</v>
      </c>
      <c r="C15" s="24"/>
      <c r="D15" s="24"/>
      <c r="E15" s="24"/>
      <c r="F15" s="24"/>
      <c r="G15" s="24"/>
      <c r="H15" s="24"/>
      <c r="I15" s="24"/>
      <c r="J15" s="24"/>
      <c r="K15" s="24"/>
      <c r="M15" s="9"/>
      <c r="N15" s="9"/>
      <c r="O15" s="32"/>
      <c r="P15" s="20"/>
      <c r="Q15" s="20"/>
      <c r="R15" s="20"/>
      <c r="S15" s="20"/>
      <c r="T15" s="20"/>
      <c r="U15" s="20"/>
      <c r="V15" s="20"/>
      <c r="W15" s="20"/>
      <c r="X15" s="20"/>
      <c r="Y15" s="30"/>
      <c r="Z15" s="20">
        <f>AVERAGE(Soil_Detailed!J33:J38)</f>
        <v>0.93422933483922665</v>
      </c>
      <c r="AA15" s="20">
        <f t="shared" si="1"/>
        <v>0.140134400225884</v>
      </c>
      <c r="AX15" s="1" t="s">
        <v>808</v>
      </c>
      <c r="BA15" s="1" t="s">
        <v>813</v>
      </c>
      <c r="BB15" s="1">
        <f>50*10^-6</f>
        <v>4.9999999999999996E-5</v>
      </c>
      <c r="BC15" s="1" t="s">
        <v>811</v>
      </c>
    </row>
    <row r="16" spans="1:198 13812:16384" x14ac:dyDescent="0.2">
      <c r="A16" s="1" t="s">
        <v>449</v>
      </c>
      <c r="C16" s="24"/>
      <c r="D16" s="24"/>
      <c r="E16" s="24"/>
      <c r="F16" s="24"/>
      <c r="G16" s="24"/>
      <c r="H16" s="24"/>
      <c r="I16" s="24"/>
      <c r="J16" s="24"/>
      <c r="K16" s="24"/>
      <c r="M16" s="9"/>
      <c r="N16" s="9"/>
      <c r="O16" s="32"/>
      <c r="P16" s="20"/>
      <c r="Q16" s="20"/>
      <c r="R16" s="20"/>
      <c r="S16" s="20"/>
      <c r="T16" s="20"/>
      <c r="U16" s="20"/>
      <c r="V16" s="20"/>
      <c r="W16" s="20"/>
      <c r="X16" s="20"/>
      <c r="Y16" s="30"/>
      <c r="Z16" s="20">
        <f>AVERAGE(Soil_Detailed!J56:J58)</f>
        <v>3.7379776114075445</v>
      </c>
      <c r="AA16" s="20">
        <f t="shared" si="1"/>
        <v>0.56069664171113165</v>
      </c>
      <c r="AW16" s="51" t="s">
        <v>806</v>
      </c>
      <c r="AX16" s="1" t="s">
        <v>807</v>
      </c>
      <c r="AY16" s="1" t="s">
        <v>810</v>
      </c>
      <c r="AZ16" s="1" t="s">
        <v>812</v>
      </c>
      <c r="BA16" s="1" t="s">
        <v>814</v>
      </c>
      <c r="BB16" s="1" t="s">
        <v>815</v>
      </c>
    </row>
    <row r="17" spans="1:54" x14ac:dyDescent="0.2">
      <c r="A17" s="1" t="s">
        <v>17</v>
      </c>
      <c r="B17" s="147">
        <v>4252.3914726224857</v>
      </c>
      <c r="C17" s="208">
        <v>1452.42436343544</v>
      </c>
      <c r="D17" s="208">
        <v>1721.7448726903101</v>
      </c>
      <c r="E17" s="208">
        <v>1721.02571132963</v>
      </c>
      <c r="F17" s="207"/>
      <c r="G17" s="207"/>
      <c r="H17" s="207"/>
      <c r="I17" s="207"/>
      <c r="J17" s="207"/>
      <c r="K17" s="24"/>
      <c r="L17" s="54">
        <f t="shared" ref="L17:L22" si="2">AVERAGE(C17:E17)</f>
        <v>1631.7316491517934</v>
      </c>
      <c r="M17" s="9">
        <f>L17/B17</f>
        <v>0.38372093906619814</v>
      </c>
      <c r="N17" s="9">
        <v>5.05</v>
      </c>
      <c r="O17" s="32">
        <v>27.402154495750565</v>
      </c>
      <c r="P17" s="20">
        <f t="shared" ref="P17:S22" si="3">(B17*$B$3*$B$1)/($N17*(1-$O17%))</f>
        <v>4.8328897337461756</v>
      </c>
      <c r="Q17" s="20">
        <f t="shared" si="3"/>
        <v>1.6506962823817901</v>
      </c>
      <c r="R17" s="20">
        <f t="shared" si="3"/>
        <v>1.9567820067665325</v>
      </c>
      <c r="S17" s="20">
        <f t="shared" si="3"/>
        <v>1.9559646719610906</v>
      </c>
      <c r="T17" s="20"/>
      <c r="U17" s="20"/>
      <c r="V17" s="20"/>
      <c r="W17" s="20"/>
      <c r="X17" s="20"/>
      <c r="Y17" s="30"/>
      <c r="Z17" s="20">
        <f t="shared" ref="Z17:Z61" si="4">(L17*$B$3*$B$1)/($N17*(1-$O17%))</f>
        <v>1.8544809870364711</v>
      </c>
      <c r="AA17" s="20">
        <f>STDEVA(Q17:V17)</f>
        <v>0.17648320429276748</v>
      </c>
      <c r="AB17" s="1">
        <f>B17/$C$2/10^6</f>
        <v>1.4983972545851549E-5</v>
      </c>
      <c r="AC17" s="2">
        <f t="shared" ref="AC17:AC61" si="5">AB17*$D$5*10^(-6)*$I$2*$D$2*10^9</f>
        <v>8.0985599575406635</v>
      </c>
      <c r="AD17" s="2">
        <f>AC17*M17</f>
        <v>3.1075870319914132</v>
      </c>
      <c r="AF17" s="1">
        <f>(AA17/Z17)*100</f>
        <v>9.5165820262624603</v>
      </c>
      <c r="AH17">
        <f t="shared" ref="AH17:AH61" si="6">10/AD17</f>
        <v>3.2179307923008582</v>
      </c>
      <c r="AI17" s="174">
        <f>ROUNDUP(AH17,0)</f>
        <v>4</v>
      </c>
      <c r="AK17" s="1">
        <f>250/100</f>
        <v>2.5</v>
      </c>
      <c r="AL17" s="1">
        <f>400/100</f>
        <v>4</v>
      </c>
      <c r="AM17" s="1">
        <f>AD17*AK17*4/3</f>
        <v>10.358623439971376</v>
      </c>
      <c r="AN17" s="1">
        <f>AD17*AL17*4/3</f>
        <v>16.573797503954204</v>
      </c>
      <c r="AO17" s="1" t="b">
        <f>AND(AD17&lt;10,AM17&gt;10)</f>
        <v>1</v>
      </c>
      <c r="AP17" s="1" t="b">
        <f>AND(AD17&lt;10,AN17&gt;10)</f>
        <v>1</v>
      </c>
      <c r="AS17" s="178">
        <f>AA17^2</f>
        <v>3.1146321397442701E-2</v>
      </c>
      <c r="AV17" s="1" t="str">
        <f>A17</f>
        <v>AW_N_1</v>
      </c>
      <c r="AW17" s="20">
        <f>330000/L17</f>
        <v>202.23913666903536</v>
      </c>
      <c r="AX17" s="1">
        <v>500</v>
      </c>
      <c r="AY17" s="1">
        <f>AX17*10^-6</f>
        <v>5.0000000000000001E-4</v>
      </c>
      <c r="AZ17" s="1">
        <f>L17*AY17</f>
        <v>0.81586582457589674</v>
      </c>
      <c r="BA17" s="1">
        <f>AZ17/BB15</f>
        <v>16317.316491517937</v>
      </c>
      <c r="BB17" s="1">
        <f>BA17*10^-6</f>
        <v>1.6317316491517936E-2</v>
      </c>
    </row>
    <row r="18" spans="1:54" x14ac:dyDescent="0.2">
      <c r="A18" s="3" t="s">
        <v>4</v>
      </c>
      <c r="B18" s="147">
        <v>8826.9595487312508</v>
      </c>
      <c r="C18" s="208">
        <v>5319.6042069621499</v>
      </c>
      <c r="D18" s="208">
        <v>5240.4685555968999</v>
      </c>
      <c r="E18" s="208">
        <v>5346.0316773649602</v>
      </c>
      <c r="F18" s="207"/>
      <c r="G18" s="207"/>
      <c r="H18" s="207"/>
      <c r="I18" s="207"/>
      <c r="J18" s="207"/>
      <c r="K18" s="4"/>
      <c r="L18" s="54">
        <f t="shared" si="2"/>
        <v>5302.0348133080033</v>
      </c>
      <c r="M18" s="9">
        <f t="shared" ref="M18:M26" si="7">L18/B18</f>
        <v>0.6006637714874421</v>
      </c>
      <c r="N18" s="9">
        <v>5.0598999999999998</v>
      </c>
      <c r="O18" s="32">
        <v>22.429681382882634</v>
      </c>
      <c r="P18" s="20">
        <f t="shared" si="3"/>
        <v>9.3704918114086535</v>
      </c>
      <c r="Q18" s="20">
        <f t="shared" si="3"/>
        <v>5.6471662055411471</v>
      </c>
      <c r="R18" s="20">
        <f t="shared" si="3"/>
        <v>5.5631576668121854</v>
      </c>
      <c r="S18" s="20">
        <f t="shared" si="3"/>
        <v>5.6752209840454144</v>
      </c>
      <c r="T18" s="20"/>
      <c r="U18" s="20"/>
      <c r="V18" s="20"/>
      <c r="W18" s="20"/>
      <c r="X18" s="20"/>
      <c r="Y18" s="30"/>
      <c r="Z18" s="20">
        <f t="shared" si="4"/>
        <v>5.6285149521329148</v>
      </c>
      <c r="AA18" s="20">
        <f t="shared" ref="AA18:AA57" si="8">STDEVA(Q18:V18)</f>
        <v>5.8313366457463101E-2</v>
      </c>
      <c r="AB18" s="1">
        <f t="shared" ref="AB18:AB61" si="9">B18/$C$2/10^6</f>
        <v>3.1103185206032683E-5</v>
      </c>
      <c r="AC18" s="2">
        <f t="shared" si="5"/>
        <v>16.810696194934351</v>
      </c>
      <c r="AD18" s="2">
        <f t="shared" ref="AD18:AD61" si="10">AC18*M18</f>
        <v>10.09757617777886</v>
      </c>
      <c r="AF18" s="1">
        <f t="shared" ref="AF18:AF57" si="11">(AA18/Z18)*100</f>
        <v>1.0360346726158267</v>
      </c>
      <c r="AH18">
        <f t="shared" si="6"/>
        <v>0.99033667327080033</v>
      </c>
      <c r="AI18" s="174">
        <f t="shared" ref="AI18:AI61" si="12">ROUNDUP(AH18,0)</f>
        <v>1</v>
      </c>
      <c r="AK18" s="1">
        <f t="shared" ref="AK18:AK61" si="13">250/100</f>
        <v>2.5</v>
      </c>
      <c r="AL18" s="1">
        <f t="shared" ref="AL18:AL61" si="14">400/100</f>
        <v>4</v>
      </c>
      <c r="AM18" s="1">
        <f t="shared" ref="AM18:AM61" si="15">AD18*AK18*4/3</f>
        <v>33.658587259262866</v>
      </c>
      <c r="AN18" s="1">
        <f t="shared" ref="AN18:AN61" si="16">AD18*AL18*4/3</f>
        <v>53.85373961482059</v>
      </c>
      <c r="AO18" s="1" t="b">
        <f t="shared" ref="AO18:AO61" si="17">AND(AD18&lt;10,AM18&gt;10)</f>
        <v>0</v>
      </c>
      <c r="AP18" s="1" t="b">
        <f t="shared" ref="AP18:AP61" si="18">AND(AD18&lt;10,AN18&gt;10)</f>
        <v>0</v>
      </c>
      <c r="AS18" s="178">
        <f t="shared" ref="AS18:AS60" si="19">AA18^2</f>
        <v>3.4004487076023824E-3</v>
      </c>
      <c r="AV18" s="1" t="str">
        <f t="shared" ref="AV18:AV61" si="20">A18</f>
        <v>AW_N_2</v>
      </c>
      <c r="AW18" s="20">
        <f t="shared" ref="AW18:AW61" si="21">330000/L18</f>
        <v>62.24025522648521</v>
      </c>
    </row>
    <row r="19" spans="1:54" x14ac:dyDescent="0.2">
      <c r="A19" s="3" t="s">
        <v>29</v>
      </c>
      <c r="B19" s="147">
        <f>AVERAGE(C19:E19)</f>
        <v>6544.9446379295196</v>
      </c>
      <c r="C19" s="208">
        <v>6667.6441025493596</v>
      </c>
      <c r="D19" s="208">
        <v>6573.5293534539696</v>
      </c>
      <c r="E19" s="208">
        <v>6393.6604577852304</v>
      </c>
      <c r="F19" s="208">
        <v>2967.0099401253901</v>
      </c>
      <c r="G19" s="208">
        <v>2969.55854204449</v>
      </c>
      <c r="H19" s="208">
        <v>2963.3321435288599</v>
      </c>
      <c r="I19" s="207"/>
      <c r="J19" s="207"/>
      <c r="K19" s="24"/>
      <c r="L19" s="54">
        <f t="shared" si="2"/>
        <v>6544.9446379295196</v>
      </c>
      <c r="M19" s="9">
        <f t="shared" si="7"/>
        <v>1</v>
      </c>
      <c r="N19" s="9">
        <v>5.1233000000000004</v>
      </c>
      <c r="O19" s="32">
        <v>25.903268788846027</v>
      </c>
      <c r="P19" s="20">
        <f t="shared" si="3"/>
        <v>7.1836621478249993</v>
      </c>
      <c r="Q19" s="20">
        <f t="shared" si="3"/>
        <v>7.3183357850074797</v>
      </c>
      <c r="R19" s="20">
        <f t="shared" si="3"/>
        <v>7.2150364298516694</v>
      </c>
      <c r="S19" s="20">
        <f t="shared" si="3"/>
        <v>7.0176142286158525</v>
      </c>
      <c r="T19" s="20"/>
      <c r="U19" s="20"/>
      <c r="V19" s="20"/>
      <c r="W19" s="20"/>
      <c r="X19" s="20"/>
      <c r="Y19" s="30"/>
      <c r="Z19" s="20">
        <f t="shared" si="4"/>
        <v>7.1836621478249993</v>
      </c>
      <c r="AA19" s="20">
        <f t="shared" si="8"/>
        <v>0.15279601696106929</v>
      </c>
      <c r="AB19" s="1">
        <f t="shared" si="9"/>
        <v>2.3062145477489183E-5</v>
      </c>
      <c r="AC19" s="2">
        <f t="shared" si="5"/>
        <v>12.464662980891571</v>
      </c>
      <c r="AD19" s="2">
        <f t="shared" si="10"/>
        <v>12.464662980891571</v>
      </c>
      <c r="AF19" s="1">
        <f t="shared" si="11"/>
        <v>2.1269933610022487</v>
      </c>
      <c r="AH19">
        <f t="shared" si="6"/>
        <v>0.80226798071717464</v>
      </c>
      <c r="AI19" s="174">
        <f t="shared" si="12"/>
        <v>1</v>
      </c>
      <c r="AK19" s="1">
        <f t="shared" si="13"/>
        <v>2.5</v>
      </c>
      <c r="AL19" s="1">
        <f t="shared" si="14"/>
        <v>4</v>
      </c>
      <c r="AM19" s="1">
        <f t="shared" si="15"/>
        <v>41.548876602971909</v>
      </c>
      <c r="AN19" s="1">
        <f t="shared" si="16"/>
        <v>66.478202564755051</v>
      </c>
      <c r="AO19" s="1" t="b">
        <f t="shared" si="17"/>
        <v>0</v>
      </c>
      <c r="AP19" s="1" t="b">
        <f t="shared" si="18"/>
        <v>0</v>
      </c>
      <c r="AS19" s="178">
        <f t="shared" si="19"/>
        <v>2.3346622799167372E-2</v>
      </c>
      <c r="AV19" s="1" t="str">
        <f t="shared" si="20"/>
        <v>AW_N_3</v>
      </c>
      <c r="AW19" s="20">
        <f t="shared" si="21"/>
        <v>50.42059455897779</v>
      </c>
    </row>
    <row r="20" spans="1:54" x14ac:dyDescent="0.2">
      <c r="A20" s="1" t="s">
        <v>18</v>
      </c>
      <c r="B20" s="147">
        <v>10286.344330595643</v>
      </c>
      <c r="C20" s="208">
        <v>4591.3882186020401</v>
      </c>
      <c r="D20" s="208">
        <v>3667.59275308324</v>
      </c>
      <c r="E20" s="208">
        <v>3577.1275445423098</v>
      </c>
      <c r="F20" s="207"/>
      <c r="G20" s="207"/>
      <c r="H20" s="207"/>
      <c r="I20" s="207"/>
      <c r="J20" s="207"/>
      <c r="K20" s="24"/>
      <c r="L20" s="54">
        <f t="shared" si="2"/>
        <v>3945.3695054091963</v>
      </c>
      <c r="M20" s="9">
        <f t="shared" si="7"/>
        <v>0.38355409644163985</v>
      </c>
      <c r="N20" s="9">
        <v>5.0347999999999997</v>
      </c>
      <c r="O20" s="32">
        <v>22.689649058236018</v>
      </c>
      <c r="P20" s="20">
        <f t="shared" si="3"/>
        <v>11.011080763537018</v>
      </c>
      <c r="Q20" s="20">
        <f t="shared" si="3"/>
        <v>4.9148798510862122</v>
      </c>
      <c r="R20" s="20">
        <f t="shared" si="3"/>
        <v>3.9259972944755726</v>
      </c>
      <c r="S20" s="20">
        <f t="shared" si="3"/>
        <v>3.829158253751304</v>
      </c>
      <c r="T20" s="20"/>
      <c r="U20" s="20"/>
      <c r="V20" s="20"/>
      <c r="W20" s="20"/>
      <c r="X20" s="20"/>
      <c r="Y20" s="30"/>
      <c r="Z20" s="20">
        <f t="shared" si="4"/>
        <v>4.2233451331043623</v>
      </c>
      <c r="AA20" s="20">
        <f t="shared" si="8"/>
        <v>0.60084078555202636</v>
      </c>
      <c r="AB20" s="1">
        <f t="shared" si="9"/>
        <v>3.6245557832371288E-5</v>
      </c>
      <c r="AC20" s="2">
        <f t="shared" si="5"/>
        <v>19.59005346557678</v>
      </c>
      <c r="AD20" s="2">
        <f t="shared" si="10"/>
        <v>7.5138452562327176</v>
      </c>
      <c r="AF20" s="1">
        <f t="shared" si="11"/>
        <v>14.226656041969733</v>
      </c>
      <c r="AH20">
        <f t="shared" si="6"/>
        <v>1.3308764898644969</v>
      </c>
      <c r="AI20" s="174">
        <f t="shared" si="12"/>
        <v>2</v>
      </c>
      <c r="AK20" s="1">
        <f t="shared" si="13"/>
        <v>2.5</v>
      </c>
      <c r="AL20" s="1">
        <f t="shared" si="14"/>
        <v>4</v>
      </c>
      <c r="AM20" s="1">
        <f t="shared" si="15"/>
        <v>25.046150854109058</v>
      </c>
      <c r="AN20" s="1">
        <f t="shared" si="16"/>
        <v>40.073841366574491</v>
      </c>
      <c r="AO20" s="1" t="b">
        <f t="shared" si="17"/>
        <v>1</v>
      </c>
      <c r="AP20" s="1" t="b">
        <f t="shared" si="18"/>
        <v>1</v>
      </c>
      <c r="AS20" s="178">
        <f t="shared" si="19"/>
        <v>0.36100964958277615</v>
      </c>
      <c r="AV20" s="1" t="str">
        <f t="shared" si="20"/>
        <v>AW_N_4</v>
      </c>
      <c r="AW20" s="20">
        <f t="shared" si="21"/>
        <v>83.642355816752286</v>
      </c>
    </row>
    <row r="21" spans="1:54" x14ac:dyDescent="0.2">
      <c r="A21" s="1" t="s">
        <v>19</v>
      </c>
      <c r="B21" s="147">
        <v>2848.3611949879637</v>
      </c>
      <c r="C21" s="208">
        <v>872.32730878987104</v>
      </c>
      <c r="D21" s="208">
        <v>1374.0312536025899</v>
      </c>
      <c r="E21" s="208">
        <v>1337.97931840758</v>
      </c>
      <c r="F21" s="207">
        <v>871.27708075123405</v>
      </c>
      <c r="G21" s="207">
        <v>869.22356218921198</v>
      </c>
      <c r="H21" s="208"/>
      <c r="I21" s="207"/>
      <c r="J21" s="207"/>
      <c r="K21" s="24"/>
      <c r="L21" s="54">
        <f t="shared" si="2"/>
        <v>1194.7792936000135</v>
      </c>
      <c r="M21" s="9">
        <f t="shared" si="7"/>
        <v>0.41946200352061119</v>
      </c>
      <c r="N21" s="9">
        <v>4.9980000000000002</v>
      </c>
      <c r="O21" s="32">
        <v>20.246271719797495</v>
      </c>
      <c r="P21" s="20">
        <f t="shared" si="3"/>
        <v>2.9773958083552254</v>
      </c>
      <c r="Q21" s="20">
        <f t="shared" si="3"/>
        <v>0.91184491534112877</v>
      </c>
      <c r="R21" s="20">
        <f t="shared" si="3"/>
        <v>1.4362767272016266</v>
      </c>
      <c r="S21" s="20">
        <f t="shared" si="3"/>
        <v>1.3985915905969022</v>
      </c>
      <c r="T21" s="20">
        <f>(F21*$B$3*$B$1)/($N21*(1-$O21%))</f>
        <v>0.91074711055234114</v>
      </c>
      <c r="U21" s="20">
        <f>(G21*$B$3*$B$1)/($N21*(1-$O21%))</f>
        <v>0.90860056482292217</v>
      </c>
      <c r="V21" s="20"/>
      <c r="W21" s="20"/>
      <c r="X21" s="20"/>
      <c r="Y21" s="30"/>
      <c r="Z21" s="20">
        <f t="shared" si="4"/>
        <v>1.2489044110465524</v>
      </c>
      <c r="AA21" s="20">
        <f t="shared" si="8"/>
        <v>0.27803727373287529</v>
      </c>
      <c r="AB21" s="1">
        <f t="shared" si="9"/>
        <v>1.0036650252251489E-5</v>
      </c>
      <c r="AC21" s="2">
        <f t="shared" si="5"/>
        <v>5.4246237833122626</v>
      </c>
      <c r="AD21" s="2">
        <f t="shared" si="10"/>
        <v>2.2754235604937194</v>
      </c>
      <c r="AF21" s="1">
        <f t="shared" si="11"/>
        <v>22.262494332923897</v>
      </c>
      <c r="AH21">
        <f t="shared" si="6"/>
        <v>4.394786172395178</v>
      </c>
      <c r="AI21" s="174">
        <f t="shared" si="12"/>
        <v>5</v>
      </c>
      <c r="AK21" s="1">
        <f t="shared" si="13"/>
        <v>2.5</v>
      </c>
      <c r="AL21" s="1">
        <f t="shared" si="14"/>
        <v>4</v>
      </c>
      <c r="AM21" s="1">
        <f t="shared" si="15"/>
        <v>7.5847452016457311</v>
      </c>
      <c r="AN21" s="1">
        <f t="shared" si="16"/>
        <v>12.135592322633171</v>
      </c>
      <c r="AO21" s="1" t="b">
        <f t="shared" si="17"/>
        <v>0</v>
      </c>
      <c r="AP21" s="1" t="b">
        <f t="shared" si="18"/>
        <v>1</v>
      </c>
      <c r="AS21" s="178">
        <f t="shared" si="19"/>
        <v>7.730472558480983E-2</v>
      </c>
      <c r="AV21" s="1" t="str">
        <f t="shared" si="20"/>
        <v>AW_N_5</v>
      </c>
      <c r="AW21" s="20">
        <f t="shared" si="21"/>
        <v>276.20163972349269</v>
      </c>
    </row>
    <row r="22" spans="1:54" x14ac:dyDescent="0.2">
      <c r="A22" s="1" t="s">
        <v>20</v>
      </c>
      <c r="B22" s="147">
        <v>6013.2976314615162</v>
      </c>
      <c r="C22" s="208">
        <v>1273.3119574791399</v>
      </c>
      <c r="D22" s="208">
        <v>1297.2715593354101</v>
      </c>
      <c r="E22" s="208">
        <v>1311.4238483781601</v>
      </c>
      <c r="F22" s="207">
        <v>1476.76441789152</v>
      </c>
      <c r="G22" s="207">
        <v>3332.9461353960301</v>
      </c>
      <c r="H22" s="207">
        <v>3331.6519515601999</v>
      </c>
      <c r="L22" s="54">
        <f t="shared" si="2"/>
        <v>1294.0024550642368</v>
      </c>
      <c r="M22" s="9">
        <f t="shared" si="7"/>
        <v>0.21519015594605331</v>
      </c>
      <c r="N22" s="9">
        <v>5.0118999999999998</v>
      </c>
      <c r="O22" s="32">
        <v>16.303301015995086</v>
      </c>
      <c r="P22" s="20">
        <f t="shared" si="3"/>
        <v>5.9729754745104309</v>
      </c>
      <c r="Q22" s="20">
        <f>(C22*$B$3*$B$1)/($N22*(1-$O22%))</f>
        <v>1.264773766332814</v>
      </c>
      <c r="R22" s="20">
        <f>(D22*$B$3*$B$1)/($N22*(1-$O22%))</f>
        <v>1.2885727071199431</v>
      </c>
      <c r="S22" s="20">
        <f>(E22*$B$3*$B$1)/($N22*(1-$O22%))</f>
        <v>1.3026300980127974</v>
      </c>
      <c r="T22" s="20"/>
      <c r="U22" s="20"/>
      <c r="V22" s="20"/>
      <c r="Z22" s="20">
        <f t="shared" si="4"/>
        <v>1.2853255238218517</v>
      </c>
      <c r="AA22" s="20">
        <f>STDEVA(Q22:V22)</f>
        <v>1.9135924633912567E-2</v>
      </c>
      <c r="AB22" s="1">
        <f t="shared" si="9"/>
        <v>2.1188803335711274E-5</v>
      </c>
      <c r="AC22" s="2">
        <f t="shared" si="5"/>
        <v>11.452156210090234</v>
      </c>
      <c r="AD22" s="2">
        <f t="shared" si="10"/>
        <v>2.4643912807678801</v>
      </c>
      <c r="AF22" s="1">
        <f t="shared" si="11"/>
        <v>1.488799862700372</v>
      </c>
      <c r="AH22">
        <f t="shared" si="6"/>
        <v>4.057797184253995</v>
      </c>
      <c r="AI22" s="174">
        <f t="shared" si="12"/>
        <v>5</v>
      </c>
      <c r="AK22" s="1">
        <f t="shared" si="13"/>
        <v>2.5</v>
      </c>
      <c r="AL22" s="1">
        <f t="shared" si="14"/>
        <v>4</v>
      </c>
      <c r="AM22" s="1">
        <f t="shared" si="15"/>
        <v>8.2146376025596002</v>
      </c>
      <c r="AN22" s="1">
        <f t="shared" si="16"/>
        <v>13.14342016409536</v>
      </c>
      <c r="AO22" s="1" t="b">
        <f t="shared" si="17"/>
        <v>0</v>
      </c>
      <c r="AP22" s="1" t="b">
        <f t="shared" si="18"/>
        <v>1</v>
      </c>
      <c r="AS22" s="178">
        <f t="shared" si="19"/>
        <v>3.6618361159478183E-4</v>
      </c>
      <c r="AV22" s="1" t="str">
        <f t="shared" si="20"/>
        <v>AW_N_6</v>
      </c>
      <c r="AW22" s="20">
        <f t="shared" si="21"/>
        <v>255.02270007951273</v>
      </c>
    </row>
    <row r="23" spans="1:54" s="33" customFormat="1" x14ac:dyDescent="0.2">
      <c r="A23" s="33" t="s">
        <v>5</v>
      </c>
      <c r="B23" s="207">
        <f>AVERAGE(C23:D23)</f>
        <v>1679.8572279684149</v>
      </c>
      <c r="C23" s="208">
        <v>1467.0486845227699</v>
      </c>
      <c r="D23" s="208">
        <v>1892.6657714140599</v>
      </c>
      <c r="E23" s="207">
        <v>558.48181839622498</v>
      </c>
      <c r="F23" s="207">
        <v>556.14424319433999</v>
      </c>
      <c r="G23" s="207">
        <v>595.36820377961499</v>
      </c>
      <c r="L23" s="61">
        <f>AVERAGE(C23:D23)</f>
        <v>1679.8572279684149</v>
      </c>
      <c r="M23" s="9"/>
      <c r="N23" s="34">
        <v>5.0103999999999997</v>
      </c>
      <c r="O23" s="35">
        <v>20.193580246913577</v>
      </c>
      <c r="P23" s="36">
        <f t="shared" ref="P23:R26" si="22">(B23*$B$3*$B$1)/($N23*(1-$O23%))</f>
        <v>1.7504548117490371</v>
      </c>
      <c r="Q23" s="36">
        <f>(C23*$B$3*$B$1)/($N23*(1-$O23%))</f>
        <v>1.5287027886284523</v>
      </c>
      <c r="R23" s="36">
        <f>(D23*$B$3*$B$1)/($N23*(1-$O23%))</f>
        <v>1.9722068348696218</v>
      </c>
      <c r="S23" s="36"/>
      <c r="T23" s="36"/>
      <c r="U23" s="36"/>
      <c r="V23" s="36"/>
      <c r="W23" s="36"/>
      <c r="X23" s="36"/>
      <c r="Y23" s="165">
        <v>5</v>
      </c>
      <c r="Z23" s="36">
        <f t="shared" si="4"/>
        <v>1.7504548117490371</v>
      </c>
      <c r="AA23" s="20">
        <f t="shared" si="8"/>
        <v>0.31360471858080424</v>
      </c>
      <c r="AB23" s="33">
        <f t="shared" si="9"/>
        <v>5.9192420892768575E-6</v>
      </c>
      <c r="AC23" s="157">
        <f t="shared" si="5"/>
        <v>3.19924084327549</v>
      </c>
      <c r="AD23" s="2">
        <f t="shared" si="10"/>
        <v>0</v>
      </c>
      <c r="AF23" s="33">
        <f>(AA23/Z23)*100</f>
        <v>17.915613500896576</v>
      </c>
      <c r="AH23" t="e">
        <f t="shared" si="6"/>
        <v>#DIV/0!</v>
      </c>
      <c r="AI23" s="174" t="e">
        <f t="shared" si="12"/>
        <v>#DIV/0!</v>
      </c>
      <c r="AK23" s="1">
        <f t="shared" si="13"/>
        <v>2.5</v>
      </c>
      <c r="AL23" s="1">
        <f t="shared" si="14"/>
        <v>4</v>
      </c>
      <c r="AM23" s="1">
        <f t="shared" si="15"/>
        <v>0</v>
      </c>
      <c r="AN23" s="1">
        <f t="shared" si="16"/>
        <v>0</v>
      </c>
      <c r="AO23" s="1" t="b">
        <f t="shared" si="17"/>
        <v>0</v>
      </c>
      <c r="AP23" s="1" t="b">
        <f t="shared" si="18"/>
        <v>0</v>
      </c>
      <c r="AQ23" s="1"/>
      <c r="AR23" s="1"/>
      <c r="AS23" s="178">
        <f t="shared" si="19"/>
        <v>9.8347919516145424E-2</v>
      </c>
      <c r="AV23" s="1" t="str">
        <f t="shared" si="20"/>
        <v>AW_N_7</v>
      </c>
      <c r="AW23" s="20">
        <f t="shared" si="21"/>
        <v>196.44526600578746</v>
      </c>
    </row>
    <row r="24" spans="1:54" s="33" customFormat="1" x14ac:dyDescent="0.2">
      <c r="A24" s="33" t="s">
        <v>6</v>
      </c>
      <c r="B24" s="207">
        <v>1569.0235963080117</v>
      </c>
      <c r="C24" s="208">
        <v>1083.4194427551099</v>
      </c>
      <c r="D24" s="208">
        <v>1047.2237548881101</v>
      </c>
      <c r="E24" s="207">
        <v>747.335862207525</v>
      </c>
      <c r="F24" s="207">
        <v>739.00603765152005</v>
      </c>
      <c r="G24" s="207">
        <v>773.12901127577004</v>
      </c>
      <c r="K24" s="24"/>
      <c r="L24" s="61">
        <f>AVERAGE(C24:D24)</f>
        <v>1065.32159882161</v>
      </c>
      <c r="M24" s="9">
        <f t="shared" si="7"/>
        <v>0.6789710501029832</v>
      </c>
      <c r="N24" s="34">
        <v>4.9984000000000002</v>
      </c>
      <c r="O24" s="35">
        <v>24.986780752775996</v>
      </c>
      <c r="P24" s="36">
        <f t="shared" si="22"/>
        <v>1.743610282215202</v>
      </c>
      <c r="Q24" s="36">
        <f>(C24*$B$3*$B$1)/($N24*(1-$O24%))</f>
        <v>1.2039725118122675</v>
      </c>
      <c r="R24" s="36">
        <f>(D24*$B$3*$B$1)/($N24*(1-$O24%))</f>
        <v>1.1637492967597618</v>
      </c>
      <c r="S24" s="36"/>
      <c r="T24" s="36"/>
      <c r="U24" s="36"/>
      <c r="V24" s="36"/>
      <c r="W24" s="36"/>
      <c r="X24" s="36"/>
      <c r="Y24" s="165">
        <v>5</v>
      </c>
      <c r="Z24" s="36">
        <f t="shared" si="4"/>
        <v>1.1838609042860146</v>
      </c>
      <c r="AA24" s="20">
        <f t="shared" si="8"/>
        <v>2.8442108124751592E-2</v>
      </c>
      <c r="AB24" s="33">
        <f t="shared" si="9"/>
        <v>5.5287022942818495E-6</v>
      </c>
      <c r="AC24" s="157">
        <f t="shared" si="5"/>
        <v>2.988161309066895</v>
      </c>
      <c r="AD24" s="2">
        <f t="shared" si="10"/>
        <v>2.0288750218942546</v>
      </c>
      <c r="AF24" s="33">
        <f>(AA24/Z24)*100</f>
        <v>2.4024873210848194</v>
      </c>
      <c r="AH24">
        <f t="shared" si="6"/>
        <v>4.9288398211258588</v>
      </c>
      <c r="AI24" s="174">
        <f t="shared" si="12"/>
        <v>5</v>
      </c>
      <c r="AK24" s="1">
        <f t="shared" si="13"/>
        <v>2.5</v>
      </c>
      <c r="AL24" s="1">
        <f t="shared" si="14"/>
        <v>4</v>
      </c>
      <c r="AM24" s="1">
        <f t="shared" si="15"/>
        <v>6.7629167396475154</v>
      </c>
      <c r="AN24" s="1">
        <f t="shared" si="16"/>
        <v>10.820666783436025</v>
      </c>
      <c r="AO24" s="1" t="b">
        <f t="shared" si="17"/>
        <v>0</v>
      </c>
      <c r="AP24" s="1" t="b">
        <f t="shared" si="18"/>
        <v>1</v>
      </c>
      <c r="AQ24" s="1"/>
      <c r="AR24" s="1"/>
      <c r="AS24" s="178">
        <f t="shared" si="19"/>
        <v>8.0895351458006048E-4</v>
      </c>
      <c r="AV24" s="1" t="str">
        <f t="shared" si="20"/>
        <v>AW_N_8</v>
      </c>
      <c r="AW24" s="20">
        <f t="shared" si="21"/>
        <v>309.76561478245134</v>
      </c>
    </row>
    <row r="25" spans="1:54" s="33" customFormat="1" x14ac:dyDescent="0.2">
      <c r="A25" s="33" t="s">
        <v>7</v>
      </c>
      <c r="B25" s="207">
        <v>2095.6201217615926</v>
      </c>
      <c r="C25" s="208">
        <v>863.07429712907106</v>
      </c>
      <c r="D25" s="208">
        <v>925.68449941790197</v>
      </c>
      <c r="E25" s="208">
        <v>904.11921316806104</v>
      </c>
      <c r="F25" s="207"/>
      <c r="G25" s="207"/>
      <c r="H25" s="207"/>
      <c r="I25" s="207"/>
      <c r="J25" s="207"/>
      <c r="K25" s="24"/>
      <c r="L25" s="61">
        <f>AVERAGE(C25:E25)</f>
        <v>897.62600323834465</v>
      </c>
      <c r="M25" s="9">
        <f t="shared" si="7"/>
        <v>0.42833431208123451</v>
      </c>
      <c r="N25" s="34">
        <v>4.9981</v>
      </c>
      <c r="O25" s="35">
        <v>25.298983732049262</v>
      </c>
      <c r="P25" s="36">
        <f t="shared" si="22"/>
        <v>2.3386749659587918</v>
      </c>
      <c r="Q25" s="36">
        <f t="shared" si="22"/>
        <v>0.9631756402307855</v>
      </c>
      <c r="R25" s="36">
        <f t="shared" si="22"/>
        <v>1.0330475178606964</v>
      </c>
      <c r="S25" s="36">
        <f>(E25*$B$3*$B$1)/($N25*(1-$O25%))</f>
        <v>1.0089810400852095</v>
      </c>
      <c r="T25" s="36"/>
      <c r="U25" s="36"/>
      <c r="V25" s="36"/>
      <c r="W25" s="36"/>
      <c r="X25" s="36"/>
      <c r="Z25" s="36">
        <f t="shared" si="4"/>
        <v>1.0017347327255637</v>
      </c>
      <c r="AA25" s="20">
        <f t="shared" si="8"/>
        <v>3.549509189515012E-2</v>
      </c>
      <c r="AB25" s="33">
        <f t="shared" si="9"/>
        <v>7.3842482690439348E-6</v>
      </c>
      <c r="AC25" s="157">
        <f t="shared" si="5"/>
        <v>3.9910495808252686</v>
      </c>
      <c r="AD25" s="2">
        <f t="shared" si="10"/>
        <v>1.7095034766848909</v>
      </c>
      <c r="AF25" s="33">
        <f t="shared" si="11"/>
        <v>3.5433624027963488</v>
      </c>
      <c r="AH25">
        <f t="shared" si="6"/>
        <v>5.8496517476479388</v>
      </c>
      <c r="AI25" s="174">
        <f t="shared" si="12"/>
        <v>6</v>
      </c>
      <c r="AK25" s="1">
        <f t="shared" si="13"/>
        <v>2.5</v>
      </c>
      <c r="AL25" s="1">
        <f>400/70</f>
        <v>5.7142857142857144</v>
      </c>
      <c r="AM25" s="1">
        <f t="shared" si="15"/>
        <v>5.6983449222829696</v>
      </c>
      <c r="AN25" s="1">
        <f t="shared" si="16"/>
        <v>13.024788393789644</v>
      </c>
      <c r="AO25" s="1" t="b">
        <f t="shared" si="17"/>
        <v>0</v>
      </c>
      <c r="AP25" s="1" t="b">
        <f t="shared" si="18"/>
        <v>1</v>
      </c>
      <c r="AQ25" s="1"/>
      <c r="AR25" s="1"/>
      <c r="AS25" s="178">
        <f t="shared" si="19"/>
        <v>1.2599015486451518E-3</v>
      </c>
      <c r="AV25" s="1" t="str">
        <f t="shared" si="20"/>
        <v>AW_N_9</v>
      </c>
      <c r="AW25" s="20">
        <f t="shared" si="21"/>
        <v>367.63640849247525</v>
      </c>
    </row>
    <row r="26" spans="1:54" x14ac:dyDescent="0.2">
      <c r="A26" s="1" t="s">
        <v>170</v>
      </c>
      <c r="B26" s="147">
        <f>[7]Sorted_Checked!$S$491</f>
        <v>3426.5187291304501</v>
      </c>
      <c r="C26" s="209">
        <v>1981.4491336501101</v>
      </c>
      <c r="D26" s="209">
        <v>2025.12014913595</v>
      </c>
      <c r="E26" s="209">
        <v>1825.27964813529</v>
      </c>
      <c r="F26" s="209">
        <v>1900.6850322420401</v>
      </c>
      <c r="G26" s="209">
        <v>1881.5878962581901</v>
      </c>
      <c r="H26" s="147"/>
      <c r="I26" s="147"/>
      <c r="J26" s="147"/>
      <c r="K26" s="51"/>
      <c r="L26" s="54">
        <f>AVERAGE(C26:G26)</f>
        <v>1922.8243718843162</v>
      </c>
      <c r="M26" s="9">
        <f t="shared" si="7"/>
        <v>0.56115974371815924</v>
      </c>
      <c r="N26" s="9">
        <f>[8]Extraction!Q30</f>
        <v>5.0129000000000001</v>
      </c>
      <c r="O26" s="32">
        <f>[8]Water_content!$V$30</f>
        <v>14.368422708709494</v>
      </c>
      <c r="P26" s="36"/>
      <c r="Q26" s="36">
        <f>(C26*$B$3*$B$1)/($N26*(1-$O26%))</f>
        <v>1.9233073950624728</v>
      </c>
      <c r="R26" s="36">
        <f t="shared" si="22"/>
        <v>1.9656969702513536</v>
      </c>
      <c r="S26" s="36">
        <f t="shared" ref="S26:U26" si="23">(E26*$B$3*$B$1)/($N26*(1-$O26%))</f>
        <v>1.7717203968030493</v>
      </c>
      <c r="T26" s="36">
        <f t="shared" si="23"/>
        <v>1.8449131578066473</v>
      </c>
      <c r="U26" s="36">
        <f t="shared" si="23"/>
        <v>1.8263763898228078</v>
      </c>
      <c r="V26" s="36"/>
      <c r="W26" s="31"/>
      <c r="X26" s="31"/>
      <c r="Z26" s="20">
        <f t="shared" si="4"/>
        <v>1.8664028619492665</v>
      </c>
      <c r="AA26" s="20">
        <f t="shared" si="8"/>
        <v>7.7662959146446886E-2</v>
      </c>
      <c r="AB26" s="1">
        <f t="shared" si="9"/>
        <v>1.2073879579453024E-5</v>
      </c>
      <c r="AC26" s="2">
        <f t="shared" si="5"/>
        <v>6.5257085459221393</v>
      </c>
      <c r="AD26" s="2">
        <f t="shared" si="10"/>
        <v>3.6619649352090695</v>
      </c>
      <c r="AF26" s="1">
        <f t="shared" si="11"/>
        <v>4.1611037321993756</v>
      </c>
      <c r="AH26">
        <f t="shared" si="6"/>
        <v>2.7307743730290741</v>
      </c>
      <c r="AI26" s="174">
        <f t="shared" si="12"/>
        <v>3</v>
      </c>
      <c r="AK26" s="1">
        <f t="shared" si="13"/>
        <v>2.5</v>
      </c>
      <c r="AL26" s="1">
        <f t="shared" si="14"/>
        <v>4</v>
      </c>
      <c r="AM26" s="1">
        <f t="shared" si="15"/>
        <v>12.206549784030232</v>
      </c>
      <c r="AN26" s="1">
        <f t="shared" si="16"/>
        <v>19.530479654448371</v>
      </c>
      <c r="AO26" s="1" t="b">
        <f t="shared" si="17"/>
        <v>1</v>
      </c>
      <c r="AP26" s="1" t="b">
        <f t="shared" si="18"/>
        <v>1</v>
      </c>
      <c r="AS26" s="178">
        <f t="shared" si="19"/>
        <v>6.031535223382678E-3</v>
      </c>
      <c r="AV26" s="1" t="str">
        <f t="shared" si="20"/>
        <v>AW_N_10</v>
      </c>
      <c r="AW26" s="20">
        <f t="shared" si="21"/>
        <v>171.62253860793791</v>
      </c>
    </row>
    <row r="27" spans="1:54" s="148" customFormat="1" x14ac:dyDescent="0.2">
      <c r="A27" s="148" t="s">
        <v>171</v>
      </c>
      <c r="B27" s="206">
        <v>1823</v>
      </c>
      <c r="C27" s="213">
        <f>B27*B6</f>
        <v>801.62574812957871</v>
      </c>
      <c r="D27" s="210">
        <f>B27*($B$6-$B$7)</f>
        <v>488.24110810950782</v>
      </c>
      <c r="E27" s="210">
        <f>B27*($B$6+$B$7)</f>
        <v>1115.0103881496498</v>
      </c>
      <c r="F27" s="208">
        <v>2136.8920271144102</v>
      </c>
      <c r="G27" s="206"/>
      <c r="H27" s="206"/>
      <c r="I27" s="206"/>
      <c r="J27" s="206"/>
      <c r="K27" s="150"/>
      <c r="L27" s="149">
        <f>AVERAGE(C27:F27)</f>
        <v>1135.4423178757866</v>
      </c>
      <c r="M27" s="9"/>
      <c r="N27" s="151">
        <f>[8]Extraction!$Q$33</f>
        <v>5.0502000000000002</v>
      </c>
      <c r="O27" s="152">
        <f>[8]Water_content!$V$33</f>
        <v>27.941637719342122</v>
      </c>
      <c r="P27" s="153"/>
      <c r="Q27" s="153">
        <f>(F27*$B$3*$B$1)/($N27*(1-$O27%))</f>
        <v>2.4466867610231571</v>
      </c>
      <c r="R27" s="153"/>
      <c r="S27" s="153"/>
      <c r="T27" s="153"/>
      <c r="U27" s="153"/>
      <c r="V27" s="153"/>
      <c r="W27" s="153"/>
      <c r="X27" s="153"/>
      <c r="Z27" s="153">
        <f t="shared" si="4"/>
        <v>1.3000524368110224</v>
      </c>
      <c r="AA27" s="20">
        <f>AA9</f>
        <v>0.10176181761407965</v>
      </c>
      <c r="AB27" s="148">
        <f t="shared" si="9"/>
        <v>6.4236282400033836E-6</v>
      </c>
      <c r="AC27" s="160">
        <f t="shared" si="5"/>
        <v>3.4718522265993883</v>
      </c>
      <c r="AD27" s="2">
        <f t="shared" si="10"/>
        <v>0</v>
      </c>
      <c r="AF27" s="148">
        <f t="shared" si="11"/>
        <v>7.8275163933923615</v>
      </c>
      <c r="AH27" t="e">
        <f t="shared" si="6"/>
        <v>#DIV/0!</v>
      </c>
      <c r="AI27" s="174" t="e">
        <f t="shared" si="12"/>
        <v>#DIV/0!</v>
      </c>
      <c r="AK27" s="1">
        <f t="shared" si="13"/>
        <v>2.5</v>
      </c>
      <c r="AL27" s="1">
        <f t="shared" si="14"/>
        <v>4</v>
      </c>
      <c r="AM27" s="1">
        <f t="shared" si="15"/>
        <v>0</v>
      </c>
      <c r="AN27" s="1">
        <f t="shared" si="16"/>
        <v>0</v>
      </c>
      <c r="AO27" s="1" t="b">
        <f t="shared" si="17"/>
        <v>0</v>
      </c>
      <c r="AP27" s="1" t="b">
        <f t="shared" si="18"/>
        <v>0</v>
      </c>
      <c r="AQ27" s="1"/>
      <c r="AR27" s="1"/>
      <c r="AS27" s="178">
        <f t="shared" si="19"/>
        <v>1.0355467524121212E-2</v>
      </c>
      <c r="AV27" s="1" t="str">
        <f t="shared" si="20"/>
        <v>AW_N_11</v>
      </c>
      <c r="AW27" s="20">
        <f t="shared" si="21"/>
        <v>290.63563582637306</v>
      </c>
    </row>
    <row r="28" spans="1:54" s="33" customFormat="1" x14ac:dyDescent="0.2">
      <c r="A28" s="33" t="s">
        <v>172</v>
      </c>
      <c r="B28" s="207">
        <v>1492</v>
      </c>
      <c r="C28" s="208">
        <v>353.466045618316</v>
      </c>
      <c r="D28" s="208">
        <v>341.25542000794297</v>
      </c>
      <c r="E28" s="208">
        <v>353.588471934859</v>
      </c>
      <c r="F28" s="208">
        <f>B28*$B$6</f>
        <v>656.07548886962786</v>
      </c>
      <c r="G28" s="207"/>
      <c r="H28" s="207"/>
      <c r="I28" s="207"/>
      <c r="J28" s="207"/>
      <c r="K28" s="53"/>
      <c r="L28" s="61">
        <f>AVERAGE(C28:F28)</f>
        <v>426.09635660768646</v>
      </c>
      <c r="M28" s="9"/>
      <c r="N28" s="34">
        <f>[8]Extraction!$Q$36</f>
        <v>5.0137</v>
      </c>
      <c r="O28" s="35">
        <f>[8]Water_content!$V$36</f>
        <v>34.334950650734086</v>
      </c>
      <c r="P28" s="36"/>
      <c r="Q28" s="36">
        <f>(B28*$B$3*$B$1)/($N28*(1-$O28%))</f>
        <v>1.8882737791724382</v>
      </c>
      <c r="R28" s="36">
        <f>(C28*$B$3*$B$1)/($N28*(1-$O28%))</f>
        <v>0.44734629072978221</v>
      </c>
      <c r="S28" s="36">
        <f>(D28*$B$3*$B$1)/($N28*(1-$O28%))</f>
        <v>0.4318925345854398</v>
      </c>
      <c r="T28" s="36">
        <f t="shared" ref="T28:U28" si="24">(E28*$B$3*$B$1)/($N28*(1-$O28%))</f>
        <v>0.44750123335941278</v>
      </c>
      <c r="U28" s="36">
        <f t="shared" si="24"/>
        <v>0.83032851393448881</v>
      </c>
      <c r="V28" s="36"/>
      <c r="W28" s="36"/>
      <c r="X28" s="36"/>
      <c r="Z28" s="36">
        <f t="shared" si="4"/>
        <v>0.53926714315228086</v>
      </c>
      <c r="AA28" s="20">
        <f t="shared" si="8"/>
        <v>0.62629297789808969</v>
      </c>
      <c r="AB28" s="33" t="e">
        <f>#REF!/$C$2/10^6</f>
        <v>#REF!</v>
      </c>
      <c r="AC28" s="157" t="e">
        <f t="shared" si="5"/>
        <v>#REF!</v>
      </c>
      <c r="AD28" s="2" t="e">
        <f t="shared" si="10"/>
        <v>#REF!</v>
      </c>
      <c r="AH28" t="e">
        <f t="shared" si="6"/>
        <v>#REF!</v>
      </c>
      <c r="AI28" s="174" t="e">
        <f t="shared" si="12"/>
        <v>#REF!</v>
      </c>
      <c r="AK28" s="1">
        <f t="shared" si="13"/>
        <v>2.5</v>
      </c>
      <c r="AL28" s="1">
        <f>400/70</f>
        <v>5.7142857142857144</v>
      </c>
      <c r="AM28" s="1" t="e">
        <f t="shared" si="15"/>
        <v>#REF!</v>
      </c>
      <c r="AN28" s="1" t="e">
        <f t="shared" si="16"/>
        <v>#REF!</v>
      </c>
      <c r="AO28" s="1" t="e">
        <f t="shared" si="17"/>
        <v>#REF!</v>
      </c>
      <c r="AP28" s="1" t="e">
        <f t="shared" si="18"/>
        <v>#REF!</v>
      </c>
      <c r="AQ28" s="1"/>
      <c r="AR28" s="1"/>
      <c r="AS28" s="178">
        <f t="shared" si="19"/>
        <v>0.39224289416445707</v>
      </c>
      <c r="AV28" s="1" t="str">
        <f t="shared" si="20"/>
        <v>AW_N_12</v>
      </c>
      <c r="AW28" s="20">
        <f t="shared" si="21"/>
        <v>774.47270994583073</v>
      </c>
    </row>
    <row r="29" spans="1:54" s="33" customFormat="1" x14ac:dyDescent="0.2">
      <c r="A29" s="33" t="s">
        <v>173</v>
      </c>
      <c r="B29" s="207">
        <v>1169</v>
      </c>
      <c r="C29" s="208">
        <v>295.48011488548002</v>
      </c>
      <c r="D29" s="208">
        <v>293.90037100599</v>
      </c>
      <c r="E29" s="208">
        <v>294.731808988468</v>
      </c>
      <c r="F29" s="208">
        <f>B29*B6</f>
        <v>514.04306064919228</v>
      </c>
      <c r="G29" s="207"/>
      <c r="H29" s="207"/>
      <c r="I29" s="207"/>
      <c r="J29" s="207"/>
      <c r="K29" s="53"/>
      <c r="L29" s="61">
        <f>AVERAGE(C29:F29)</f>
        <v>349.53883888228256</v>
      </c>
      <c r="M29" s="9"/>
      <c r="N29" s="34">
        <f>[8]Extraction!$Q$39</f>
        <v>4.9946999999999999</v>
      </c>
      <c r="O29" s="35">
        <f>[8]Water_content!$V$39</f>
        <v>18.211212627957654</v>
      </c>
      <c r="P29" s="36"/>
      <c r="Q29" s="36">
        <f>(C29*$B$3*$B$1)/($N29*(1-$O29%))</f>
        <v>0.3013795917357831</v>
      </c>
      <c r="R29" s="36">
        <f t="shared" ref="R29" si="25">(D29*$B$3*$B$1)/($N29*(1-$O29%))</f>
        <v>0.29976830711301805</v>
      </c>
      <c r="S29" s="36">
        <f t="shared" ref="S29" si="26">(E29*$B$3*$B$1)/($N29*(1-$O29%))</f>
        <v>0.30061634536361226</v>
      </c>
      <c r="T29" s="36">
        <f t="shared" ref="T29" si="27">(F29*$B$3*$B$1)/($N29*(1-$O29%))</f>
        <v>0.52430630674794976</v>
      </c>
      <c r="U29" s="36"/>
      <c r="V29" s="36"/>
      <c r="W29" s="36"/>
      <c r="X29" s="36"/>
      <c r="Z29" s="36">
        <f t="shared" si="4"/>
        <v>0.35651763774009076</v>
      </c>
      <c r="AA29" s="20">
        <f t="shared" si="8"/>
        <v>0.1118610485983738</v>
      </c>
      <c r="AB29" s="33">
        <f t="shared" si="9"/>
        <v>4.1191560134744679E-6</v>
      </c>
      <c r="AC29" s="157">
        <f t="shared" si="5"/>
        <v>2.2263276208967007</v>
      </c>
      <c r="AD29" s="2">
        <f t="shared" si="10"/>
        <v>0</v>
      </c>
      <c r="AF29" s="33">
        <f t="shared" si="11"/>
        <v>31.376020919313667</v>
      </c>
      <c r="AH29" t="e">
        <f t="shared" si="6"/>
        <v>#DIV/0!</v>
      </c>
      <c r="AI29" s="174" t="e">
        <f t="shared" si="12"/>
        <v>#DIV/0!</v>
      </c>
      <c r="AK29" s="1">
        <f t="shared" si="13"/>
        <v>2.5</v>
      </c>
      <c r="AL29" s="1">
        <f>400/700</f>
        <v>0.5714285714285714</v>
      </c>
      <c r="AM29" s="1">
        <f t="shared" si="15"/>
        <v>0</v>
      </c>
      <c r="AN29" s="1">
        <f t="shared" si="16"/>
        <v>0</v>
      </c>
      <c r="AO29" s="1" t="b">
        <f t="shared" si="17"/>
        <v>0</v>
      </c>
      <c r="AP29" s="1" t="b">
        <f t="shared" si="18"/>
        <v>0</v>
      </c>
      <c r="AQ29" s="1"/>
      <c r="AR29" s="1"/>
      <c r="AS29" s="178">
        <f t="shared" si="19"/>
        <v>1.2512894193527744E-2</v>
      </c>
      <c r="AV29" s="1" t="str">
        <f t="shared" si="20"/>
        <v>AW_N_13</v>
      </c>
      <c r="AW29" s="20">
        <f t="shared" si="21"/>
        <v>944.10109347286914</v>
      </c>
    </row>
    <row r="30" spans="1:54" s="148" customFormat="1" x14ac:dyDescent="0.2">
      <c r="A30" s="148" t="s">
        <v>174</v>
      </c>
      <c r="B30" s="148">
        <v>1464.9</v>
      </c>
      <c r="C30" s="213">
        <f>B30*B6</f>
        <v>644.1588362232693</v>
      </c>
      <c r="D30" s="210">
        <f>B30*($B$6-$B$7)</f>
        <v>392.33373520000987</v>
      </c>
      <c r="E30" s="210">
        <f>B30*($B$6+$B$7)</f>
        <v>895.98393724652874</v>
      </c>
      <c r="F30" s="210">
        <v>1777.86125414669</v>
      </c>
      <c r="G30" s="206"/>
      <c r="H30" s="206"/>
      <c r="I30" s="206"/>
      <c r="J30" s="206"/>
      <c r="K30" s="150"/>
      <c r="L30" s="61">
        <f>AVERAGE(C30:F30)</f>
        <v>927.58444070412452</v>
      </c>
      <c r="M30" s="9"/>
      <c r="N30" s="151">
        <f>[8]Extraction!$Q$42</f>
        <v>5.1658999999999997</v>
      </c>
      <c r="O30" s="152">
        <f>[8]Water_content!$V$42</f>
        <v>7.8373710767148212</v>
      </c>
      <c r="P30" s="153"/>
      <c r="Q30" s="153"/>
      <c r="R30" s="153"/>
      <c r="S30" s="153"/>
      <c r="T30" s="153"/>
      <c r="U30" s="153"/>
      <c r="V30" s="153"/>
      <c r="W30" s="153"/>
      <c r="X30" s="153"/>
      <c r="Z30" s="153">
        <f t="shared" si="4"/>
        <v>0.811785638912222</v>
      </c>
      <c r="AA30" s="20">
        <f>AA9</f>
        <v>0.10176181761407965</v>
      </c>
      <c r="AB30" s="148">
        <f>F30/$C$2/10^6</f>
        <v>6.2645747443469608E-6</v>
      </c>
      <c r="AC30" s="160">
        <f t="shared" si="5"/>
        <v>3.3858867546867617</v>
      </c>
      <c r="AD30" s="2">
        <f t="shared" si="10"/>
        <v>0</v>
      </c>
      <c r="AH30" t="e">
        <f t="shared" si="6"/>
        <v>#DIV/0!</v>
      </c>
      <c r="AI30" s="174" t="e">
        <f t="shared" si="12"/>
        <v>#DIV/0!</v>
      </c>
      <c r="AK30" s="1">
        <f t="shared" si="13"/>
        <v>2.5</v>
      </c>
      <c r="AL30" s="1">
        <f t="shared" si="14"/>
        <v>4</v>
      </c>
      <c r="AM30" s="1">
        <f t="shared" si="15"/>
        <v>0</v>
      </c>
      <c r="AN30" s="1">
        <f t="shared" si="16"/>
        <v>0</v>
      </c>
      <c r="AO30" s="1" t="b">
        <f t="shared" si="17"/>
        <v>0</v>
      </c>
      <c r="AP30" s="1" t="b">
        <f t="shared" si="18"/>
        <v>0</v>
      </c>
      <c r="AQ30" s="1"/>
      <c r="AR30" s="1"/>
      <c r="AS30" s="178">
        <f t="shared" si="19"/>
        <v>1.0355467524121212E-2</v>
      </c>
      <c r="AV30" s="1" t="str">
        <f t="shared" si="20"/>
        <v>AW_N_14</v>
      </c>
      <c r="AW30" s="20">
        <f t="shared" si="21"/>
        <v>355.76275918287149</v>
      </c>
    </row>
    <row r="31" spans="1:54" s="341" customFormat="1" x14ac:dyDescent="0.2">
      <c r="A31" s="341" t="s">
        <v>175</v>
      </c>
      <c r="C31" s="342">
        <v>1159.74904707309</v>
      </c>
      <c r="D31" s="342"/>
      <c r="E31" s="342"/>
      <c r="F31" s="342"/>
      <c r="G31" s="342"/>
      <c r="H31" s="342"/>
      <c r="I31" s="342"/>
      <c r="J31" s="342"/>
      <c r="K31" s="344"/>
      <c r="L31" s="345">
        <f>AVERAGE(C31:E31)</f>
        <v>1159.74904707309</v>
      </c>
      <c r="M31" s="346"/>
      <c r="N31" s="346">
        <f>[8]Extraction!$Q$45</f>
        <v>5.0317999999999996</v>
      </c>
      <c r="O31" s="347">
        <f>[8]Water_content!$V$45</f>
        <v>13.933538829501222</v>
      </c>
      <c r="P31" s="348"/>
      <c r="Q31" s="348"/>
      <c r="R31" s="348"/>
      <c r="S31" s="348"/>
      <c r="T31" s="348"/>
      <c r="U31" s="348"/>
      <c r="V31" s="348"/>
      <c r="W31" s="348"/>
      <c r="X31" s="348"/>
      <c r="Z31" s="348">
        <f t="shared" si="4"/>
        <v>1.1158234020305029</v>
      </c>
      <c r="AA31" s="348">
        <f t="shared" ref="AA31" si="28">Z31*0.15</f>
        <v>0.16737351030457542</v>
      </c>
      <c r="AB31" s="341">
        <f>C31/$C$2/10^6</f>
        <v>4.0865588206778458E-6</v>
      </c>
      <c r="AC31" s="349">
        <f t="shared" si="5"/>
        <v>2.2087094412381929</v>
      </c>
      <c r="AD31" s="349">
        <f t="shared" si="10"/>
        <v>0</v>
      </c>
      <c r="AH31" s="341" t="e">
        <f t="shared" si="6"/>
        <v>#DIV/0!</v>
      </c>
      <c r="AI31" s="350" t="e">
        <f t="shared" si="12"/>
        <v>#DIV/0!</v>
      </c>
      <c r="AK31" s="341">
        <f t="shared" si="13"/>
        <v>2.5</v>
      </c>
      <c r="AL31" s="341">
        <f t="shared" si="14"/>
        <v>4</v>
      </c>
      <c r="AM31" s="341">
        <f t="shared" si="15"/>
        <v>0</v>
      </c>
      <c r="AN31" s="341">
        <f t="shared" si="16"/>
        <v>0</v>
      </c>
      <c r="AO31" s="341" t="b">
        <f t="shared" si="17"/>
        <v>0</v>
      </c>
      <c r="AP31" s="341" t="b">
        <f t="shared" si="18"/>
        <v>0</v>
      </c>
      <c r="AS31" s="351">
        <f t="shared" si="19"/>
        <v>2.8013891951675817E-2</v>
      </c>
      <c r="AV31" s="1" t="str">
        <f t="shared" si="20"/>
        <v>AW_N_15</v>
      </c>
      <c r="AW31" s="20">
        <f t="shared" si="21"/>
        <v>284.54431657679356</v>
      </c>
    </row>
    <row r="32" spans="1:54" x14ac:dyDescent="0.2">
      <c r="A32" s="1" t="s">
        <v>21</v>
      </c>
      <c r="B32" s="147">
        <v>19980.393304632464</v>
      </c>
      <c r="C32" s="208">
        <v>6543.0450844917696</v>
      </c>
      <c r="D32" s="208">
        <v>6419.6573389805499</v>
      </c>
      <c r="E32" s="208">
        <v>6605.8654684680896</v>
      </c>
      <c r="F32" s="207"/>
      <c r="G32" s="207"/>
      <c r="H32" s="207"/>
      <c r="I32" s="207"/>
      <c r="J32" s="207"/>
      <c r="K32" s="84"/>
      <c r="L32" s="54">
        <f>AVERAGE(C32:E32)</f>
        <v>6522.855963980136</v>
      </c>
      <c r="M32" s="9">
        <f t="shared" ref="M32:M34" si="29">L32/B32</f>
        <v>0.32646284107269341</v>
      </c>
      <c r="N32" s="9">
        <v>5.0679999999999996</v>
      </c>
      <c r="O32" s="32">
        <v>29.655569339176907</v>
      </c>
      <c r="P32" s="20">
        <f t="shared" ref="P32:P40" si="30">(B32*$B$3*$B$1)/($N32*(1-$O32%))</f>
        <v>23.352128186289139</v>
      </c>
      <c r="Q32" s="20">
        <f t="shared" ref="Q32:S40" si="31">(C32*$B$3*$B$1)/($N32*(1-$O32%))</f>
        <v>7.6471981913536951</v>
      </c>
      <c r="R32" s="20">
        <f t="shared" ref="R32:R40" si="32">(D32*$B$3*$B$1)/($N32*(1-$O32%))</f>
        <v>7.5029884950847459</v>
      </c>
      <c r="S32" s="20">
        <f t="shared" ref="S32:S40" si="33">(E32*$B$3*$B$1)/($N32*(1-$O32%))</f>
        <v>7.7206196519305905</v>
      </c>
      <c r="T32" s="20"/>
      <c r="U32" s="20"/>
      <c r="V32" s="20"/>
      <c r="W32" s="20"/>
      <c r="X32" s="20"/>
      <c r="Y32" s="30"/>
      <c r="Z32" s="20">
        <f t="shared" si="4"/>
        <v>7.6236021127896771</v>
      </c>
      <c r="AA32" s="20">
        <f t="shared" si="8"/>
        <v>0.11071770996644863</v>
      </c>
      <c r="AB32" s="1">
        <f t="shared" si="9"/>
        <v>7.0404069488761166E-5</v>
      </c>
      <c r="AC32" s="2">
        <f t="shared" si="5"/>
        <v>38.052097083389867</v>
      </c>
      <c r="AD32" s="2">
        <f t="shared" si="10"/>
        <v>12.422595722617407</v>
      </c>
      <c r="AF32" s="1">
        <f t="shared" si="11"/>
        <v>1.4523017902613768</v>
      </c>
      <c r="AH32">
        <f t="shared" si="6"/>
        <v>0.80498474097433059</v>
      </c>
      <c r="AI32" s="174">
        <f t="shared" si="12"/>
        <v>1</v>
      </c>
      <c r="AK32" s="1">
        <f t="shared" si="13"/>
        <v>2.5</v>
      </c>
      <c r="AL32" s="1">
        <f t="shared" si="14"/>
        <v>4</v>
      </c>
      <c r="AM32" s="1">
        <f t="shared" si="15"/>
        <v>41.408652408724691</v>
      </c>
      <c r="AN32" s="1">
        <f t="shared" si="16"/>
        <v>66.253843853959509</v>
      </c>
      <c r="AO32" s="1" t="b">
        <f t="shared" si="17"/>
        <v>0</v>
      </c>
      <c r="AP32" s="1" t="b">
        <f t="shared" si="18"/>
        <v>0</v>
      </c>
      <c r="AS32" s="178">
        <f t="shared" si="19"/>
        <v>1.2258411300214638E-2</v>
      </c>
      <c r="AV32" s="1" t="str">
        <f t="shared" si="20"/>
        <v>AW_S_1</v>
      </c>
      <c r="AW32" s="20">
        <f t="shared" si="21"/>
        <v>50.591336344431497</v>
      </c>
    </row>
    <row r="33" spans="1:49" x14ac:dyDescent="0.2">
      <c r="A33" s="3" t="s">
        <v>8</v>
      </c>
      <c r="B33" s="147">
        <v>9033.7504933450418</v>
      </c>
      <c r="C33" s="208">
        <v>3798.47065416236</v>
      </c>
      <c r="D33" s="208">
        <v>3362.0228884775202</v>
      </c>
      <c r="E33" s="208">
        <v>3243.2443198465899</v>
      </c>
      <c r="F33" s="208">
        <f>[7]Sorted_Checked!$S$500</f>
        <v>5821.3814131684003</v>
      </c>
      <c r="G33" s="208">
        <f>[7]Sorted_Checked!$S$501</f>
        <v>5765.65601513197</v>
      </c>
      <c r="H33" s="207"/>
      <c r="I33" s="207"/>
      <c r="J33" s="207"/>
      <c r="K33" s="70"/>
      <c r="L33" s="54">
        <f>AVERAGE(C33:E33)</f>
        <v>3467.9126208288235</v>
      </c>
      <c r="M33" s="9">
        <f t="shared" si="29"/>
        <v>0.3838840383496927</v>
      </c>
      <c r="N33" s="9">
        <v>5.0461</v>
      </c>
      <c r="O33" s="32">
        <v>22.326699724458372</v>
      </c>
      <c r="P33" s="20">
        <f t="shared" si="30"/>
        <v>9.6034933185463309</v>
      </c>
      <c r="Q33" s="20">
        <f t="shared" si="31"/>
        <v>4.0380335470650293</v>
      </c>
      <c r="R33" s="20">
        <f t="shared" si="32"/>
        <v>3.5740597850337927</v>
      </c>
      <c r="S33" s="20">
        <f t="shared" si="33"/>
        <v>3.4477900600647495</v>
      </c>
      <c r="T33" s="20"/>
      <c r="U33" s="20"/>
      <c r="V33" s="20"/>
      <c r="W33" s="20"/>
      <c r="X33" s="20"/>
      <c r="Y33" s="39"/>
      <c r="Z33" s="20">
        <f t="shared" si="4"/>
        <v>3.6866277973878576</v>
      </c>
      <c r="AA33" s="20">
        <f t="shared" si="8"/>
        <v>0.31080622828471594</v>
      </c>
      <c r="AB33" s="1">
        <f t="shared" si="9"/>
        <v>3.1831845738999288E-5</v>
      </c>
      <c r="AC33" s="2">
        <f t="shared" si="5"/>
        <v>17.204523732782942</v>
      </c>
      <c r="AD33" s="2">
        <f t="shared" si="10"/>
        <v>6.6045420484238448</v>
      </c>
      <c r="AF33" s="1">
        <f t="shared" si="11"/>
        <v>8.4306375735824535</v>
      </c>
      <c r="AH33">
        <f t="shared" si="6"/>
        <v>1.5141095213992122</v>
      </c>
      <c r="AI33" s="174">
        <f t="shared" si="12"/>
        <v>2</v>
      </c>
      <c r="AK33" s="1">
        <f t="shared" si="13"/>
        <v>2.5</v>
      </c>
      <c r="AL33" s="1">
        <f t="shared" si="14"/>
        <v>4</v>
      </c>
      <c r="AM33" s="1">
        <f t="shared" si="15"/>
        <v>22.015140161412816</v>
      </c>
      <c r="AN33" s="1">
        <f t="shared" si="16"/>
        <v>35.224224258260506</v>
      </c>
      <c r="AO33" s="1" t="b">
        <f t="shared" si="17"/>
        <v>1</v>
      </c>
      <c r="AP33" s="1" t="b">
        <f t="shared" si="18"/>
        <v>1</v>
      </c>
      <c r="AS33" s="178">
        <f t="shared" si="19"/>
        <v>9.6600511540570949E-2</v>
      </c>
      <c r="AV33" s="1" t="str">
        <f t="shared" si="20"/>
        <v>AW_S_2</v>
      </c>
      <c r="AW33" s="20">
        <f t="shared" si="21"/>
        <v>95.158106930944157</v>
      </c>
    </row>
    <row r="34" spans="1:49" x14ac:dyDescent="0.2">
      <c r="A34" s="3" t="s">
        <v>9</v>
      </c>
      <c r="B34" s="147">
        <v>10561.325018520571</v>
      </c>
      <c r="C34" s="208">
        <v>4238.0124426792199</v>
      </c>
      <c r="D34" s="208">
        <v>4497.0978371291903</v>
      </c>
      <c r="E34" s="208">
        <v>4553.6265139874904</v>
      </c>
      <c r="F34" s="207"/>
      <c r="G34" s="207"/>
      <c r="H34" s="207"/>
      <c r="I34" s="207"/>
      <c r="J34" s="207"/>
      <c r="K34" s="70"/>
      <c r="L34" s="54">
        <f>AVERAGE(C34:E34)</f>
        <v>4429.5789312653005</v>
      </c>
      <c r="M34" s="9">
        <f t="shared" si="29"/>
        <v>0.41941507561764213</v>
      </c>
      <c r="N34" s="9">
        <v>5.0345000000000004</v>
      </c>
      <c r="O34" s="32">
        <v>25.46060036077148</v>
      </c>
      <c r="P34" s="20">
        <f t="shared" si="30"/>
        <v>11.726406108300505</v>
      </c>
      <c r="Q34" s="20">
        <f t="shared" si="31"/>
        <v>4.7055322043150847</v>
      </c>
      <c r="R34" s="20">
        <f t="shared" si="32"/>
        <v>4.9931988130712606</v>
      </c>
      <c r="S34" s="20">
        <f t="shared" si="33"/>
        <v>5.0559634965217635</v>
      </c>
      <c r="T34" s="20"/>
      <c r="U34" s="20"/>
      <c r="V34" s="20"/>
      <c r="W34" s="20"/>
      <c r="X34" s="20"/>
      <c r="Y34" s="39"/>
      <c r="Z34" s="20">
        <f t="shared" si="4"/>
        <v>4.9182315046360365</v>
      </c>
      <c r="AA34" s="20">
        <f t="shared" si="8"/>
        <v>0.18685715303388098</v>
      </c>
      <c r="AB34" s="1">
        <f t="shared" si="9"/>
        <v>3.7214495688877124E-5</v>
      </c>
      <c r="AC34" s="2">
        <f t="shared" si="5"/>
        <v>20.11374645166784</v>
      </c>
      <c r="AD34" s="2">
        <f t="shared" si="10"/>
        <v>8.4360084889803488</v>
      </c>
      <c r="AF34" s="1">
        <f t="shared" si="11"/>
        <v>3.799275265057068</v>
      </c>
      <c r="AH34">
        <f t="shared" si="6"/>
        <v>1.1853947293987004</v>
      </c>
      <c r="AI34" s="174">
        <f t="shared" si="12"/>
        <v>2</v>
      </c>
      <c r="AK34" s="1">
        <f t="shared" si="13"/>
        <v>2.5</v>
      </c>
      <c r="AL34" s="1">
        <f t="shared" si="14"/>
        <v>4</v>
      </c>
      <c r="AM34" s="1">
        <f t="shared" si="15"/>
        <v>28.120028296601163</v>
      </c>
      <c r="AN34" s="1">
        <f t="shared" si="16"/>
        <v>44.99204527456186</v>
      </c>
      <c r="AO34" s="1" t="b">
        <f t="shared" si="17"/>
        <v>1</v>
      </c>
      <c r="AP34" s="1" t="b">
        <f t="shared" si="18"/>
        <v>1</v>
      </c>
      <c r="AS34" s="178">
        <f t="shared" si="19"/>
        <v>3.4915595639927216E-2</v>
      </c>
      <c r="AV34" s="1" t="str">
        <f t="shared" si="20"/>
        <v>AW_S_3</v>
      </c>
      <c r="AW34" s="20">
        <f t="shared" si="21"/>
        <v>74.499180423394364</v>
      </c>
    </row>
    <row r="35" spans="1:49" s="33" customFormat="1" x14ac:dyDescent="0.2">
      <c r="A35" s="33" t="s">
        <v>22</v>
      </c>
      <c r="B35" s="207"/>
      <c r="C35" s="208">
        <v>2401.94537704303</v>
      </c>
      <c r="D35" s="208">
        <v>2431.15766957494</v>
      </c>
      <c r="E35" s="208">
        <v>2456.8913680414698</v>
      </c>
      <c r="F35" s="207">
        <v>6288.6422775445499</v>
      </c>
      <c r="G35" s="207">
        <v>6108.72494610187</v>
      </c>
      <c r="H35" s="207">
        <v>6141.3580408200296</v>
      </c>
      <c r="I35" s="207"/>
      <c r="J35" s="207"/>
      <c r="K35" s="84"/>
      <c r="L35" s="61">
        <f>AVERAGE(C35:E35)</f>
        <v>2429.9981382198134</v>
      </c>
      <c r="M35" s="9"/>
      <c r="N35" s="34">
        <v>5.0335000000000001</v>
      </c>
      <c r="O35" s="35">
        <v>22.519863428954316</v>
      </c>
      <c r="P35" s="36"/>
      <c r="Q35" s="36">
        <f t="shared" si="31"/>
        <v>2.566205518740365</v>
      </c>
      <c r="R35" s="36">
        <f t="shared" si="31"/>
        <v>2.597415531685261</v>
      </c>
      <c r="S35" s="36">
        <f t="shared" si="31"/>
        <v>2.624909062409805</v>
      </c>
      <c r="T35" s="36"/>
      <c r="U35" s="36"/>
      <c r="V35" s="36"/>
      <c r="W35" s="36"/>
      <c r="X35" s="36"/>
      <c r="Y35" s="166"/>
      <c r="Z35" s="36">
        <f t="shared" si="4"/>
        <v>2.5961767042784771</v>
      </c>
      <c r="AA35" s="20">
        <f t="shared" si="8"/>
        <v>2.9371372624467419E-2</v>
      </c>
      <c r="AB35" s="33">
        <f t="shared" si="9"/>
        <v>0</v>
      </c>
      <c r="AC35" s="157">
        <f t="shared" si="5"/>
        <v>0</v>
      </c>
      <c r="AD35" s="2">
        <f t="shared" si="10"/>
        <v>0</v>
      </c>
      <c r="AF35" s="33">
        <f t="shared" si="11"/>
        <v>1.1313317994134855</v>
      </c>
      <c r="AH35" t="e">
        <f t="shared" si="6"/>
        <v>#DIV/0!</v>
      </c>
      <c r="AI35" s="174" t="e">
        <f t="shared" si="12"/>
        <v>#DIV/0!</v>
      </c>
      <c r="AK35" s="1">
        <f t="shared" si="13"/>
        <v>2.5</v>
      </c>
      <c r="AL35" s="1">
        <f t="shared" si="14"/>
        <v>4</v>
      </c>
      <c r="AM35" s="1">
        <f t="shared" si="15"/>
        <v>0</v>
      </c>
      <c r="AN35" s="1">
        <f t="shared" si="16"/>
        <v>0</v>
      </c>
      <c r="AO35" s="1" t="b">
        <f t="shared" si="17"/>
        <v>0</v>
      </c>
      <c r="AP35" s="1" t="b">
        <f t="shared" si="18"/>
        <v>0</v>
      </c>
      <c r="AQ35" s="1"/>
      <c r="AR35" s="1"/>
      <c r="AS35" s="178">
        <f t="shared" si="19"/>
        <v>8.6267752984531406E-4</v>
      </c>
      <c r="AV35" s="1" t="str">
        <f t="shared" si="20"/>
        <v>AW_S_4</v>
      </c>
      <c r="AW35" s="20">
        <f t="shared" si="21"/>
        <v>135.80257318293829</v>
      </c>
    </row>
    <row r="36" spans="1:49" x14ac:dyDescent="0.2">
      <c r="A36" s="1" t="s">
        <v>23</v>
      </c>
      <c r="B36" s="147">
        <v>11113.741729352516</v>
      </c>
      <c r="C36" s="208">
        <v>2890.0105407845699</v>
      </c>
      <c r="D36" s="208">
        <v>2845.4853344611201</v>
      </c>
      <c r="E36" s="208">
        <v>2884.18263203579</v>
      </c>
      <c r="F36" s="207"/>
      <c r="G36" s="207"/>
      <c r="H36" s="207"/>
      <c r="I36" s="207"/>
      <c r="J36" s="207"/>
      <c r="K36" s="84"/>
      <c r="L36" s="54">
        <f>AVERAGE(C36:F36)</f>
        <v>2873.2261690938267</v>
      </c>
      <c r="M36" s="9">
        <f t="shared" ref="M36:M43" si="34">L36/B36</f>
        <v>0.25852914698434515</v>
      </c>
      <c r="N36" s="9">
        <v>5.0500999999999996</v>
      </c>
      <c r="O36" s="32">
        <v>26.487603478639215</v>
      </c>
      <c r="P36" s="20">
        <f t="shared" si="30"/>
        <v>12.473504824117612</v>
      </c>
      <c r="Q36" s="20">
        <f t="shared" si="31"/>
        <v>3.2436024968097996</v>
      </c>
      <c r="R36" s="20">
        <f t="shared" si="32"/>
        <v>3.1936296443362213</v>
      </c>
      <c r="S36" s="20">
        <f t="shared" si="33"/>
        <v>3.2370615451066995</v>
      </c>
      <c r="T36" s="20"/>
      <c r="U36" s="20"/>
      <c r="V36" s="20"/>
      <c r="W36" s="20"/>
      <c r="X36" s="20"/>
      <c r="Y36" s="39"/>
      <c r="Z36" s="20">
        <f t="shared" si="4"/>
        <v>3.2247645620842404</v>
      </c>
      <c r="AA36" s="20">
        <f t="shared" si="8"/>
        <v>2.7161247019927046E-2</v>
      </c>
      <c r="AB36" s="1">
        <f t="shared" si="9"/>
        <v>3.9161023162245125E-5</v>
      </c>
      <c r="AC36" s="2">
        <f t="shared" si="5"/>
        <v>21.165808540264987</v>
      </c>
      <c r="AD36" s="2">
        <f t="shared" si="10"/>
        <v>5.4719784271486747</v>
      </c>
      <c r="AF36" s="1">
        <f t="shared" si="11"/>
        <v>0.84227069905444818</v>
      </c>
      <c r="AH36">
        <f t="shared" si="6"/>
        <v>1.8274925848365919</v>
      </c>
      <c r="AI36" s="174">
        <f t="shared" si="12"/>
        <v>2</v>
      </c>
      <c r="AK36" s="1">
        <f t="shared" si="13"/>
        <v>2.5</v>
      </c>
      <c r="AL36" s="1">
        <f t="shared" si="14"/>
        <v>4</v>
      </c>
      <c r="AM36" s="1">
        <f t="shared" si="15"/>
        <v>18.239928090495582</v>
      </c>
      <c r="AN36" s="1">
        <f t="shared" si="16"/>
        <v>29.183884944792933</v>
      </c>
      <c r="AO36" s="1" t="b">
        <f t="shared" si="17"/>
        <v>1</v>
      </c>
      <c r="AP36" s="1" t="b">
        <f t="shared" si="18"/>
        <v>1</v>
      </c>
      <c r="AS36" s="178">
        <f t="shared" si="19"/>
        <v>7.3773333967749584E-4</v>
      </c>
      <c r="AV36" s="1" t="str">
        <f t="shared" si="20"/>
        <v>AW_S_5</v>
      </c>
      <c r="AW36" s="20">
        <f t="shared" si="21"/>
        <v>114.853471526078</v>
      </c>
    </row>
    <row r="37" spans="1:49" x14ac:dyDescent="0.2">
      <c r="A37" s="1" t="s">
        <v>24</v>
      </c>
      <c r="B37" s="147">
        <v>8186.8156967547293</v>
      </c>
      <c r="C37" s="208">
        <v>2518.70494861622</v>
      </c>
      <c r="D37" s="208">
        <v>2518.1791543762401</v>
      </c>
      <c r="E37" s="208">
        <v>2414.26565128941</v>
      </c>
      <c r="F37" s="207"/>
      <c r="G37" s="207"/>
      <c r="H37" s="207"/>
      <c r="I37" s="207"/>
      <c r="J37" s="207"/>
      <c r="K37" s="84"/>
      <c r="L37" s="54">
        <f t="shared" ref="L37:L40" si="35">AVERAGE(C37:E37)</f>
        <v>2483.7165847606234</v>
      </c>
      <c r="M37" s="9">
        <f t="shared" si="34"/>
        <v>0.3033800535836142</v>
      </c>
      <c r="N37" s="9">
        <v>5.0580999999999996</v>
      </c>
      <c r="O37" s="32">
        <v>16.641555329654331</v>
      </c>
      <c r="P37" s="20">
        <f t="shared" si="30"/>
        <v>8.090339709837048</v>
      </c>
      <c r="Q37" s="20">
        <f t="shared" si="31"/>
        <v>2.4890237447546841</v>
      </c>
      <c r="R37" s="20">
        <f t="shared" si="32"/>
        <v>2.4885041466378488</v>
      </c>
      <c r="S37" s="20">
        <f t="shared" si="33"/>
        <v>2.3858151926474824</v>
      </c>
      <c r="T37" s="20"/>
      <c r="U37" s="20"/>
      <c r="V37" s="20"/>
      <c r="W37" s="20"/>
      <c r="X37" s="20"/>
      <c r="Y37" s="39"/>
      <c r="Z37" s="20">
        <f t="shared" si="4"/>
        <v>2.4544476946800047</v>
      </c>
      <c r="AA37" s="20">
        <f t="shared" si="8"/>
        <v>5.9438058068748578E-2</v>
      </c>
      <c r="AB37" s="1">
        <f t="shared" si="9"/>
        <v>2.884753730410129E-5</v>
      </c>
      <c r="AC37" s="2">
        <f t="shared" si="5"/>
        <v>15.59156023342662</v>
      </c>
      <c r="AD37" s="2">
        <f t="shared" si="10"/>
        <v>4.7301683790691165</v>
      </c>
      <c r="AF37" s="1">
        <f t="shared" si="11"/>
        <v>2.4216469634932567</v>
      </c>
      <c r="AH37">
        <f t="shared" si="6"/>
        <v>2.1140896472628254</v>
      </c>
      <c r="AI37" s="174">
        <f t="shared" si="12"/>
        <v>3</v>
      </c>
      <c r="AK37" s="1">
        <f t="shared" si="13"/>
        <v>2.5</v>
      </c>
      <c r="AL37" s="1">
        <f t="shared" si="14"/>
        <v>4</v>
      </c>
      <c r="AM37" s="1">
        <f t="shared" si="15"/>
        <v>15.767227930230389</v>
      </c>
      <c r="AN37" s="1">
        <f t="shared" si="16"/>
        <v>25.22756468836862</v>
      </c>
      <c r="AO37" s="1" t="b">
        <f t="shared" si="17"/>
        <v>1</v>
      </c>
      <c r="AP37" s="1" t="b">
        <f t="shared" si="18"/>
        <v>1</v>
      </c>
      <c r="AS37" s="178">
        <f t="shared" si="19"/>
        <v>3.532882746983928E-3</v>
      </c>
      <c r="AV37" s="1" t="str">
        <f t="shared" si="20"/>
        <v>AW_S_6</v>
      </c>
      <c r="AW37" s="20">
        <f t="shared" si="21"/>
        <v>132.86540099815971</v>
      </c>
    </row>
    <row r="38" spans="1:49" x14ac:dyDescent="0.2">
      <c r="A38" s="1" t="s">
        <v>10</v>
      </c>
      <c r="B38" s="147">
        <v>2964.9428942202076</v>
      </c>
      <c r="C38" s="208">
        <v>1383.23944564968</v>
      </c>
      <c r="D38" s="208">
        <v>1372.7811088146</v>
      </c>
      <c r="E38" s="208">
        <v>1432.2912991355099</v>
      </c>
      <c r="F38" s="207"/>
      <c r="G38" s="207"/>
      <c r="H38" s="207"/>
      <c r="I38" s="207"/>
      <c r="J38" s="207"/>
      <c r="K38" s="84"/>
      <c r="L38" s="54">
        <f t="shared" si="35"/>
        <v>1396.10395119993</v>
      </c>
      <c r="M38" s="9">
        <f t="shared" si="34"/>
        <v>0.47087043528611067</v>
      </c>
      <c r="N38" s="9">
        <v>5.0145</v>
      </c>
      <c r="O38" s="32">
        <v>34.81724024883335</v>
      </c>
      <c r="P38" s="20">
        <f t="shared" si="30"/>
        <v>3.7795901786756607</v>
      </c>
      <c r="Q38" s="20">
        <f t="shared" si="31"/>
        <v>1.7632981173855971</v>
      </c>
      <c r="R38" s="20">
        <f t="shared" si="32"/>
        <v>1.7499662494213928</v>
      </c>
      <c r="S38" s="20">
        <f t="shared" si="33"/>
        <v>1.8258274511013619</v>
      </c>
      <c r="T38" s="20"/>
      <c r="U38" s="20"/>
      <c r="V38" s="31"/>
      <c r="W38" s="31"/>
      <c r="X38" s="31"/>
      <c r="Y38" s="38">
        <v>10</v>
      </c>
      <c r="Z38" s="20">
        <f t="shared" si="4"/>
        <v>1.7796972726361173</v>
      </c>
      <c r="AA38" s="20">
        <f t="shared" si="8"/>
        <v>4.0502218455045591E-2</v>
      </c>
      <c r="AB38" s="1">
        <f t="shared" si="9"/>
        <v>1.0447444270603558E-5</v>
      </c>
      <c r="AC38" s="2">
        <f t="shared" si="5"/>
        <v>5.6466503505422168</v>
      </c>
      <c r="AD38" s="2">
        <f t="shared" si="10"/>
        <v>2.6588407084682828</v>
      </c>
      <c r="AF38" s="1">
        <f t="shared" si="11"/>
        <v>2.2757925787599276</v>
      </c>
      <c r="AH38">
        <f t="shared" si="6"/>
        <v>3.7610376462758635</v>
      </c>
      <c r="AI38" s="174">
        <f t="shared" si="12"/>
        <v>4</v>
      </c>
      <c r="AK38" s="1">
        <f t="shared" si="13"/>
        <v>2.5</v>
      </c>
      <c r="AL38" s="1">
        <f t="shared" si="14"/>
        <v>4</v>
      </c>
      <c r="AM38" s="1">
        <f t="shared" si="15"/>
        <v>8.8628023615609433</v>
      </c>
      <c r="AN38" s="1">
        <f t="shared" si="16"/>
        <v>14.180483778497509</v>
      </c>
      <c r="AO38" s="1" t="b">
        <f t="shared" si="17"/>
        <v>0</v>
      </c>
      <c r="AP38" s="1" t="b">
        <f t="shared" si="18"/>
        <v>1</v>
      </c>
      <c r="AS38" s="178">
        <f t="shared" si="19"/>
        <v>1.6404296997802356E-3</v>
      </c>
      <c r="AV38" s="1" t="str">
        <f t="shared" si="20"/>
        <v>AW_S_7</v>
      </c>
      <c r="AW38" s="20">
        <f t="shared" si="21"/>
        <v>236.3720836950358</v>
      </c>
    </row>
    <row r="39" spans="1:49" x14ac:dyDescent="0.2">
      <c r="A39" s="1" t="s">
        <v>11</v>
      </c>
      <c r="B39" s="147">
        <v>2748.7755203024403</v>
      </c>
      <c r="C39" s="208">
        <v>1062.47</v>
      </c>
      <c r="D39" s="208">
        <v>1103.3499999999999</v>
      </c>
      <c r="E39" s="208">
        <v>1140.01</v>
      </c>
      <c r="F39" s="207"/>
      <c r="G39" s="207"/>
      <c r="H39" s="207"/>
      <c r="I39" s="207"/>
      <c r="J39" s="207"/>
      <c r="K39" s="84"/>
      <c r="L39" s="54">
        <f t="shared" si="35"/>
        <v>1101.9433333333334</v>
      </c>
      <c r="M39" s="9">
        <f t="shared" si="34"/>
        <v>0.4008851669386555</v>
      </c>
      <c r="N39" s="9">
        <v>5.0022000000000002</v>
      </c>
      <c r="O39" s="32">
        <v>26.307785589958112</v>
      </c>
      <c r="P39" s="20">
        <f t="shared" si="30"/>
        <v>3.1070294795257616</v>
      </c>
      <c r="Q39" s="20">
        <f t="shared" si="31"/>
        <v>1.2009440518986148</v>
      </c>
      <c r="R39" s="20">
        <f t="shared" si="32"/>
        <v>1.2471520322101672</v>
      </c>
      <c r="S39" s="20">
        <f t="shared" si="33"/>
        <v>1.2885900106402439</v>
      </c>
      <c r="T39" s="20"/>
      <c r="U39" s="20"/>
      <c r="V39" s="31"/>
      <c r="W39" s="31"/>
      <c r="X39" s="31"/>
      <c r="Y39" s="38">
        <v>10</v>
      </c>
      <c r="Z39" s="20">
        <f t="shared" si="4"/>
        <v>1.2455620315830087</v>
      </c>
      <c r="AA39" s="20">
        <f t="shared" si="8"/>
        <v>4.3844607392821006E-2</v>
      </c>
      <c r="AB39" s="1">
        <f t="shared" si="9"/>
        <v>9.6857444090207073E-6</v>
      </c>
      <c r="AC39" s="2">
        <f t="shared" si="5"/>
        <v>5.2349656668041256</v>
      </c>
      <c r="AD39" s="2">
        <f t="shared" si="10"/>
        <v>2.0986200852549017</v>
      </c>
      <c r="AF39" s="1">
        <f t="shared" si="11"/>
        <v>3.5200661453286313</v>
      </c>
      <c r="AH39">
        <f t="shared" si="6"/>
        <v>4.7650358777469641</v>
      </c>
      <c r="AI39" s="174">
        <f t="shared" si="12"/>
        <v>5</v>
      </c>
      <c r="AK39" s="1">
        <f t="shared" si="13"/>
        <v>2.5</v>
      </c>
      <c r="AL39" s="1">
        <f t="shared" si="14"/>
        <v>4</v>
      </c>
      <c r="AM39" s="1">
        <f t="shared" si="15"/>
        <v>6.9954002841830061</v>
      </c>
      <c r="AN39" s="1">
        <f t="shared" si="16"/>
        <v>11.192640454692809</v>
      </c>
      <c r="AO39" s="1" t="b">
        <f t="shared" si="17"/>
        <v>0</v>
      </c>
      <c r="AP39" s="1" t="b">
        <f t="shared" si="18"/>
        <v>1</v>
      </c>
      <c r="AS39" s="178">
        <f t="shared" si="19"/>
        <v>1.9223495974306144E-3</v>
      </c>
      <c r="AV39" s="1" t="str">
        <f t="shared" si="20"/>
        <v>AW_S_8</v>
      </c>
      <c r="AW39" s="20">
        <f t="shared" si="21"/>
        <v>299.47093468206168</v>
      </c>
    </row>
    <row r="40" spans="1:49" s="33" customFormat="1" x14ac:dyDescent="0.2">
      <c r="A40" s="33" t="s">
        <v>12</v>
      </c>
      <c r="B40" s="207">
        <v>2463.2404976888288</v>
      </c>
      <c r="C40" s="208">
        <v>1072.80673151015</v>
      </c>
      <c r="D40" s="208">
        <v>1046.7932016725499</v>
      </c>
      <c r="E40" s="208">
        <v>1076.57866264424</v>
      </c>
      <c r="F40" s="207"/>
      <c r="G40" s="207"/>
      <c r="H40" s="207"/>
      <c r="I40" s="207"/>
      <c r="J40" s="207"/>
      <c r="K40" s="84"/>
      <c r="L40" s="61">
        <f t="shared" si="35"/>
        <v>1065.3928652756465</v>
      </c>
      <c r="M40" s="9">
        <f t="shared" si="34"/>
        <v>0.43251678684045136</v>
      </c>
      <c r="N40" s="34">
        <v>5.0101000000000004</v>
      </c>
      <c r="O40" s="35">
        <v>26.795560043812756</v>
      </c>
      <c r="P40" s="36">
        <f t="shared" si="30"/>
        <v>2.7984126646999306</v>
      </c>
      <c r="Q40" s="36">
        <f t="shared" si="31"/>
        <v>1.2187831220906604</v>
      </c>
      <c r="R40" s="36">
        <f t="shared" si="32"/>
        <v>1.1892299414656289</v>
      </c>
      <c r="S40" s="36">
        <f t="shared" si="33"/>
        <v>1.22306829841263</v>
      </c>
      <c r="T40" s="36"/>
      <c r="U40" s="36"/>
      <c r="V40" s="36"/>
      <c r="W40" s="36"/>
      <c r="X40" s="36"/>
      <c r="Z40" s="36">
        <f t="shared" si="4"/>
        <v>1.2103604539896395</v>
      </c>
      <c r="AA40" s="20">
        <f t="shared" si="8"/>
        <v>1.8424565223449037E-2</v>
      </c>
      <c r="AB40" s="33">
        <f t="shared" si="9"/>
        <v>8.6796166883565266E-6</v>
      </c>
      <c r="AC40" s="157">
        <f t="shared" si="5"/>
        <v>4.6911722471479678</v>
      </c>
      <c r="AD40" s="2">
        <f t="shared" si="10"/>
        <v>2.0290107468515388</v>
      </c>
      <c r="AF40" s="33">
        <f t="shared" si="11"/>
        <v>1.5222378724219907</v>
      </c>
      <c r="AH40">
        <f t="shared" si="6"/>
        <v>4.9285101202727599</v>
      </c>
      <c r="AI40" s="174">
        <f t="shared" si="12"/>
        <v>5</v>
      </c>
      <c r="AK40" s="1">
        <f t="shared" si="13"/>
        <v>2.5</v>
      </c>
      <c r="AL40" s="1">
        <f t="shared" si="14"/>
        <v>4</v>
      </c>
      <c r="AM40" s="1">
        <f t="shared" si="15"/>
        <v>6.7633691561717955</v>
      </c>
      <c r="AN40" s="1">
        <f t="shared" si="16"/>
        <v>10.821390649874873</v>
      </c>
      <c r="AO40" s="1" t="b">
        <f t="shared" si="17"/>
        <v>0</v>
      </c>
      <c r="AP40" s="1" t="b">
        <f t="shared" si="18"/>
        <v>1</v>
      </c>
      <c r="AQ40" s="1"/>
      <c r="AR40" s="1"/>
      <c r="AS40" s="178">
        <f t="shared" si="19"/>
        <v>3.394646036731277E-4</v>
      </c>
      <c r="AV40" s="1" t="str">
        <f t="shared" si="20"/>
        <v>AW_S_9</v>
      </c>
      <c r="AW40" s="20">
        <f t="shared" si="21"/>
        <v>309.74489388439815</v>
      </c>
    </row>
    <row r="41" spans="1:49" s="33" customFormat="1" x14ac:dyDescent="0.2">
      <c r="A41" s="33" t="s">
        <v>164</v>
      </c>
      <c r="B41" s="207">
        <v>2234</v>
      </c>
      <c r="C41" s="208">
        <v>2040.9223913383801</v>
      </c>
      <c r="D41" s="208">
        <v>526.05056103717095</v>
      </c>
      <c r="E41" s="208">
        <v>520.73080460999302</v>
      </c>
      <c r="F41" s="208">
        <v>539.76085014964099</v>
      </c>
      <c r="G41" s="207"/>
      <c r="H41" s="207"/>
      <c r="I41" s="207"/>
      <c r="J41" s="207"/>
      <c r="K41" s="53"/>
      <c r="L41" s="61">
        <f>AVERAGE(C41:F41)</f>
        <v>906.86615178379623</v>
      </c>
      <c r="M41" s="9">
        <f t="shared" si="34"/>
        <v>0.40593829533741999</v>
      </c>
      <c r="N41" s="34">
        <f>[8]Extraction!$Q$32</f>
        <v>5.0075000000000003</v>
      </c>
      <c r="O41" s="35">
        <f>[8]Water_content!$V$32</f>
        <v>21.363717474139616</v>
      </c>
      <c r="P41" s="36"/>
      <c r="Q41" s="36">
        <f t="shared" ref="Q41:Q42" si="36">(C41*$B$3*$B$1)/($N41*(1-$O41%))</f>
        <v>2.159590042801153</v>
      </c>
      <c r="R41" s="36">
        <f t="shared" ref="R41:R43" si="37">(D41*$B$3*$B$1)/($N41*(1-$O41%))</f>
        <v>0.55663731185821441</v>
      </c>
      <c r="S41" s="36">
        <f t="shared" ref="S41:T43" si="38">(E41*$B$3*$B$1)/($N41*(1-$O41%))</f>
        <v>0.5510082428357872</v>
      </c>
      <c r="T41" s="36">
        <f t="shared" si="38"/>
        <v>0.5711447737670422</v>
      </c>
      <c r="U41" s="36"/>
      <c r="V41" s="36"/>
      <c r="W41" s="36"/>
      <c r="X41" s="36"/>
      <c r="Z41" s="36">
        <f>(B41*$B$3*$B$1)/($N41*(1-$O41%))</f>
        <v>2.3638939805320018</v>
      </c>
      <c r="AA41" s="20">
        <f t="shared" si="8"/>
        <v>0.80004160674519142</v>
      </c>
      <c r="AB41" s="33">
        <f t="shared" si="9"/>
        <v>7.8718516117210951E-6</v>
      </c>
      <c r="AC41" s="157">
        <f t="shared" si="5"/>
        <v>4.2545901668804342</v>
      </c>
      <c r="AD41" s="2">
        <f t="shared" si="10"/>
        <v>1.7271010797027926</v>
      </c>
      <c r="AG41" s="33">
        <f>(AA41/Z41)*100</f>
        <v>33.844225389716485</v>
      </c>
      <c r="AH41">
        <f t="shared" si="6"/>
        <v>5.7900490698094202</v>
      </c>
      <c r="AI41" s="174">
        <f t="shared" si="12"/>
        <v>6</v>
      </c>
      <c r="AK41" s="1">
        <f t="shared" si="13"/>
        <v>2.5</v>
      </c>
      <c r="AL41" s="1">
        <f>400/50</f>
        <v>8</v>
      </c>
      <c r="AM41" s="1">
        <f t="shared" si="15"/>
        <v>5.7570035990093089</v>
      </c>
      <c r="AN41" s="1">
        <f t="shared" si="16"/>
        <v>18.422411516829786</v>
      </c>
      <c r="AO41" s="1" t="b">
        <f t="shared" si="17"/>
        <v>0</v>
      </c>
      <c r="AP41" s="1" t="b">
        <f t="shared" si="18"/>
        <v>1</v>
      </c>
      <c r="AQ41" s="1"/>
      <c r="AR41" s="1"/>
      <c r="AS41" s="178">
        <f t="shared" si="19"/>
        <v>0.64006657252342758</v>
      </c>
      <c r="AV41" s="1" t="str">
        <f t="shared" si="20"/>
        <v>AW_S_10</v>
      </c>
      <c r="AW41" s="20">
        <f t="shared" si="21"/>
        <v>363.8905249147225</v>
      </c>
    </row>
    <row r="42" spans="1:49" s="33" customFormat="1" x14ac:dyDescent="0.2">
      <c r="A42" s="33" t="s">
        <v>165</v>
      </c>
      <c r="B42" s="207">
        <v>1607</v>
      </c>
      <c r="C42" s="208">
        <v>1641.65285296452</v>
      </c>
      <c r="D42" s="208">
        <v>465.35691757487399</v>
      </c>
      <c r="E42" s="208">
        <v>447.694946764473</v>
      </c>
      <c r="F42" s="208">
        <v>484.95378921472701</v>
      </c>
      <c r="G42" s="207"/>
      <c r="H42" s="207"/>
      <c r="I42" s="207"/>
      <c r="J42" s="207"/>
      <c r="K42" s="53"/>
      <c r="L42" s="61">
        <f>AVERAGE(C42:F42)</f>
        <v>759.91462662964852</v>
      </c>
      <c r="M42" s="9">
        <f t="shared" si="34"/>
        <v>0.47287780126300466</v>
      </c>
      <c r="N42" s="34">
        <f>[8]Extraction!$Q$35</f>
        <v>5.0083000000000002</v>
      </c>
      <c r="O42" s="35">
        <f>[8]Water_content!$V$35</f>
        <v>26.874851050549779</v>
      </c>
      <c r="P42" s="36"/>
      <c r="Q42" s="36">
        <f t="shared" si="36"/>
        <v>1.8677252274763418</v>
      </c>
      <c r="R42" s="36">
        <f t="shared" si="37"/>
        <v>0.52944132077965289</v>
      </c>
      <c r="S42" s="36">
        <f t="shared" si="38"/>
        <v>0.50934711609443761</v>
      </c>
      <c r="T42" s="36">
        <f t="shared" si="38"/>
        <v>0.5517368819120041</v>
      </c>
      <c r="U42" s="36"/>
      <c r="V42" s="36"/>
      <c r="W42" s="36"/>
      <c r="X42" s="36"/>
      <c r="Z42" s="36">
        <f t="shared" si="4"/>
        <v>0.86456263656560928</v>
      </c>
      <c r="AA42" s="20">
        <f t="shared" si="8"/>
        <v>0.66899912776601023</v>
      </c>
      <c r="AB42" s="33">
        <f t="shared" si="9"/>
        <v>5.6625181468378697E-6</v>
      </c>
      <c r="AC42" s="157">
        <f t="shared" si="5"/>
        <v>3.0604863017801516</v>
      </c>
      <c r="AD42" s="2">
        <f t="shared" si="10"/>
        <v>1.4472360331813425</v>
      </c>
      <c r="AH42">
        <f t="shared" si="6"/>
        <v>6.9097229275157037</v>
      </c>
      <c r="AI42" s="174">
        <f t="shared" si="12"/>
        <v>7</v>
      </c>
      <c r="AK42" s="1">
        <f t="shared" si="13"/>
        <v>2.5</v>
      </c>
      <c r="AL42" s="1">
        <f t="shared" ref="AL42:AL43" si="39">400/50</f>
        <v>8</v>
      </c>
      <c r="AM42" s="1">
        <f t="shared" si="15"/>
        <v>4.8241201106044747</v>
      </c>
      <c r="AN42" s="1">
        <f t="shared" si="16"/>
        <v>15.43718435393432</v>
      </c>
      <c r="AO42" s="1" t="b">
        <f t="shared" si="17"/>
        <v>0</v>
      </c>
      <c r="AP42" s="1" t="b">
        <f t="shared" si="18"/>
        <v>1</v>
      </c>
      <c r="AQ42" s="1"/>
      <c r="AR42" s="1"/>
      <c r="AS42" s="178">
        <f t="shared" si="19"/>
        <v>0.4475598329516825</v>
      </c>
      <c r="AV42" s="1" t="str">
        <f t="shared" si="20"/>
        <v>AW_S_11</v>
      </c>
      <c r="AW42" s="20">
        <f t="shared" si="21"/>
        <v>434.25930813255496</v>
      </c>
    </row>
    <row r="43" spans="1:49" s="33" customFormat="1" x14ac:dyDescent="0.2">
      <c r="A43" s="33" t="s">
        <v>166</v>
      </c>
      <c r="B43" s="207">
        <v>2545</v>
      </c>
      <c r="C43" s="208">
        <v>754.25189176898402</v>
      </c>
      <c r="D43" s="208">
        <v>790.17912882877397</v>
      </c>
      <c r="E43" s="208">
        <v>771.35183191706096</v>
      </c>
      <c r="F43" s="207">
        <v>2789.5820956951902</v>
      </c>
      <c r="H43" s="207"/>
      <c r="I43" s="207"/>
      <c r="J43" s="207"/>
      <c r="K43" s="53"/>
      <c r="L43" s="61">
        <f>AVERAGE(C43:E43)</f>
        <v>771.92761750493958</v>
      </c>
      <c r="M43" s="9">
        <f t="shared" si="34"/>
        <v>0.30331144106284463</v>
      </c>
      <c r="N43" s="34">
        <f>[8]Extraction!$Q$38</f>
        <v>4.9981</v>
      </c>
      <c r="O43" s="35">
        <f>[8]Water_content!$V$38</f>
        <v>28.728510258886171</v>
      </c>
      <c r="P43" s="36"/>
      <c r="Q43" s="36">
        <f>(C43*$B$3*$B$1)/($N43*(1-$O43%))</f>
        <v>0.88223521446422037</v>
      </c>
      <c r="R43" s="36">
        <f t="shared" si="37"/>
        <v>0.92425867378655868</v>
      </c>
      <c r="S43" s="36">
        <f t="shared" si="38"/>
        <v>0.90223671466395028</v>
      </c>
      <c r="U43" s="36"/>
      <c r="V43" s="36"/>
      <c r="W43" s="36"/>
      <c r="X43" s="36"/>
      <c r="Z43" s="36">
        <f t="shared" si="4"/>
        <v>0.90291020097157626</v>
      </c>
      <c r="AA43" s="20">
        <f>STDEVA(Q43:V43)</f>
        <v>2.1019823291573494E-2</v>
      </c>
      <c r="AB43" s="33">
        <f t="shared" si="9"/>
        <v>8.9677091995658855E-6</v>
      </c>
      <c r="AC43" s="157">
        <f t="shared" si="5"/>
        <v>4.8468809197451685</v>
      </c>
      <c r="AD43" s="2">
        <f t="shared" si="10"/>
        <v>1.4701144364279128</v>
      </c>
      <c r="AH43">
        <f t="shared" si="6"/>
        <v>6.8021915520386438</v>
      </c>
      <c r="AI43" s="174">
        <f t="shared" si="12"/>
        <v>7</v>
      </c>
      <c r="AK43" s="1">
        <f t="shared" si="13"/>
        <v>2.5</v>
      </c>
      <c r="AL43" s="1">
        <f t="shared" si="39"/>
        <v>8</v>
      </c>
      <c r="AM43" s="1">
        <f t="shared" si="15"/>
        <v>4.9003814547597093</v>
      </c>
      <c r="AN43" s="1">
        <f t="shared" si="16"/>
        <v>15.681220655231071</v>
      </c>
      <c r="AO43" s="1" t="b">
        <f t="shared" si="17"/>
        <v>0</v>
      </c>
      <c r="AP43" s="1" t="b">
        <f t="shared" si="18"/>
        <v>1</v>
      </c>
      <c r="AQ43" s="1"/>
      <c r="AR43" s="1"/>
      <c r="AS43" s="178">
        <f t="shared" si="19"/>
        <v>4.4183297120897557E-4</v>
      </c>
      <c r="AV43" s="1" t="str">
        <f t="shared" si="20"/>
        <v>AW_S_12</v>
      </c>
      <c r="AW43" s="20">
        <f t="shared" si="21"/>
        <v>427.50122228641254</v>
      </c>
    </row>
    <row r="44" spans="1:49" s="341" customFormat="1" x14ac:dyDescent="0.2">
      <c r="A44" s="341" t="s">
        <v>167</v>
      </c>
      <c r="B44" s="341">
        <v>1480</v>
      </c>
      <c r="C44" s="342">
        <v>1387.07071702081</v>
      </c>
      <c r="D44" s="342" t="s">
        <v>210</v>
      </c>
      <c r="E44" s="342" t="s">
        <v>210</v>
      </c>
      <c r="F44" s="342"/>
      <c r="G44" s="342"/>
      <c r="H44" s="342"/>
      <c r="I44" s="342"/>
      <c r="J44" s="342"/>
      <c r="K44" s="344"/>
      <c r="L44" s="345">
        <f t="shared" ref="L44:L46" si="40">AVERAGE(C44:F44)</f>
        <v>1387.07071702081</v>
      </c>
      <c r="M44" s="346"/>
      <c r="N44" s="346">
        <f>[8]Extraction!$Q$41</f>
        <v>5.0437000000000003</v>
      </c>
      <c r="O44" s="347">
        <f>[8]Water_content!$V$41</f>
        <v>17.720031814436513</v>
      </c>
      <c r="P44" s="348"/>
      <c r="Q44" s="348"/>
      <c r="R44" s="348"/>
      <c r="S44" s="348"/>
      <c r="T44" s="348"/>
      <c r="U44" s="348"/>
      <c r="V44" s="348"/>
      <c r="W44" s="348"/>
      <c r="X44" s="348"/>
      <c r="Z44" s="348">
        <f t="shared" si="4"/>
        <v>1.3926564653347471</v>
      </c>
      <c r="AA44" s="348">
        <f t="shared" ref="AA44:AA46" si="41">Z44*0.15</f>
        <v>0.20889846980021207</v>
      </c>
      <c r="AB44" s="341">
        <f>C44/$C$2/10^6</f>
        <v>4.8875626049021476E-6</v>
      </c>
      <c r="AC44" s="349">
        <f t="shared" si="5"/>
        <v>2.6416371680414201</v>
      </c>
      <c r="AD44" s="349">
        <f t="shared" si="10"/>
        <v>0</v>
      </c>
      <c r="AH44" s="341" t="e">
        <f t="shared" si="6"/>
        <v>#DIV/0!</v>
      </c>
      <c r="AI44" s="350" t="e">
        <f t="shared" si="12"/>
        <v>#DIV/0!</v>
      </c>
      <c r="AK44" s="341">
        <f t="shared" si="13"/>
        <v>2.5</v>
      </c>
      <c r="AL44" s="341">
        <f t="shared" si="14"/>
        <v>4</v>
      </c>
      <c r="AM44" s="341">
        <f t="shared" si="15"/>
        <v>0</v>
      </c>
      <c r="AN44" s="341">
        <f t="shared" si="16"/>
        <v>0</v>
      </c>
      <c r="AO44" s="341" t="b">
        <f t="shared" si="17"/>
        <v>0</v>
      </c>
      <c r="AP44" s="341" t="b">
        <f t="shared" si="18"/>
        <v>0</v>
      </c>
      <c r="AS44" s="351">
        <f t="shared" si="19"/>
        <v>4.3638570684870114E-2</v>
      </c>
      <c r="AV44" s="1" t="str">
        <f t="shared" si="20"/>
        <v>AW_S_13</v>
      </c>
      <c r="AW44" s="20">
        <f t="shared" si="21"/>
        <v>237.91144600672084</v>
      </c>
    </row>
    <row r="45" spans="1:49" s="341" customFormat="1" x14ac:dyDescent="0.2">
      <c r="A45" s="341" t="s">
        <v>168</v>
      </c>
      <c r="B45" s="341">
        <v>966</v>
      </c>
      <c r="C45" s="342">
        <v>1322.3121123194901</v>
      </c>
      <c r="D45" s="342" t="s">
        <v>210</v>
      </c>
      <c r="E45" s="342" t="s">
        <v>210</v>
      </c>
      <c r="F45" s="342"/>
      <c r="G45" s="342"/>
      <c r="H45" s="342"/>
      <c r="I45" s="342"/>
      <c r="J45" s="342"/>
      <c r="K45" s="344"/>
      <c r="L45" s="345">
        <f t="shared" si="40"/>
        <v>1322.3121123194901</v>
      </c>
      <c r="M45" s="346"/>
      <c r="N45" s="346">
        <f>[8]Extraction!$Q$44</f>
        <v>5.0243000000000002</v>
      </c>
      <c r="O45" s="347">
        <f>[8]Water_content!$V$44</f>
        <v>8.0317718696462119</v>
      </c>
      <c r="P45" s="348"/>
      <c r="Q45" s="348"/>
      <c r="R45" s="348"/>
      <c r="S45" s="348"/>
      <c r="T45" s="348"/>
      <c r="U45" s="348"/>
      <c r="V45" s="348"/>
      <c r="W45" s="348"/>
      <c r="X45" s="348"/>
      <c r="Z45" s="348">
        <f t="shared" si="4"/>
        <v>1.1923653632280271</v>
      </c>
      <c r="AA45" s="348">
        <f t="shared" si="41"/>
        <v>0.17885480448420407</v>
      </c>
      <c r="AB45" s="341">
        <f>C45/$C$2/10^6</f>
        <v>4.6593754398211749E-6</v>
      </c>
      <c r="AC45" s="349">
        <f t="shared" si="5"/>
        <v>2.5183062267777081</v>
      </c>
      <c r="AD45" s="349">
        <f t="shared" si="10"/>
        <v>0</v>
      </c>
      <c r="AH45" s="341" t="e">
        <f t="shared" si="6"/>
        <v>#DIV/0!</v>
      </c>
      <c r="AI45" s="350" t="e">
        <f t="shared" si="12"/>
        <v>#DIV/0!</v>
      </c>
      <c r="AK45" s="341">
        <f t="shared" si="13"/>
        <v>2.5</v>
      </c>
      <c r="AL45" s="341">
        <f t="shared" si="14"/>
        <v>4</v>
      </c>
      <c r="AM45" s="341">
        <f t="shared" si="15"/>
        <v>0</v>
      </c>
      <c r="AN45" s="341">
        <f t="shared" si="16"/>
        <v>0</v>
      </c>
      <c r="AO45" s="341" t="b">
        <f t="shared" si="17"/>
        <v>0</v>
      </c>
      <c r="AP45" s="341" t="b">
        <f t="shared" si="18"/>
        <v>0</v>
      </c>
      <c r="AS45" s="351">
        <f t="shared" si="19"/>
        <v>3.1989041087082865E-2</v>
      </c>
      <c r="AV45" s="1" t="str">
        <f t="shared" si="20"/>
        <v>AW_S_14</v>
      </c>
      <c r="AW45" s="20">
        <f t="shared" si="21"/>
        <v>249.56286562416901</v>
      </c>
    </row>
    <row r="46" spans="1:49" s="341" customFormat="1" x14ac:dyDescent="0.2">
      <c r="A46" s="341" t="s">
        <v>169</v>
      </c>
      <c r="C46" s="342">
        <v>1401.52885608877</v>
      </c>
      <c r="D46" s="342" t="s">
        <v>210</v>
      </c>
      <c r="E46" s="342" t="s">
        <v>210</v>
      </c>
      <c r="F46" s="342"/>
      <c r="G46" s="342"/>
      <c r="H46" s="342"/>
      <c r="I46" s="342"/>
      <c r="J46" s="342"/>
      <c r="K46" s="344"/>
      <c r="L46" s="345">
        <f t="shared" si="40"/>
        <v>1401.52885608877</v>
      </c>
      <c r="M46" s="346"/>
      <c r="N46" s="346">
        <f>[8]Extraction!$Q$47</f>
        <v>5.0092999999999996</v>
      </c>
      <c r="O46" s="347">
        <f>[8]Water_content!$V$45</f>
        <v>13.933538829501222</v>
      </c>
      <c r="P46" s="348"/>
      <c r="Q46" s="348"/>
      <c r="R46" s="348"/>
      <c r="S46" s="348"/>
      <c r="T46" s="348"/>
      <c r="U46" s="348"/>
      <c r="V46" s="348"/>
      <c r="W46" s="348"/>
      <c r="X46" s="348"/>
      <c r="Z46" s="348">
        <f t="shared" si="4"/>
        <v>1.3545025099580608</v>
      </c>
      <c r="AA46" s="348">
        <f t="shared" si="41"/>
        <v>0.20317537649370912</v>
      </c>
      <c r="AB46" s="341">
        <f>C46/$C$2/10^6</f>
        <v>4.9385081399624033E-6</v>
      </c>
      <c r="AC46" s="349">
        <f t="shared" si="5"/>
        <v>2.6691722872490899</v>
      </c>
      <c r="AD46" s="349">
        <f t="shared" si="10"/>
        <v>0</v>
      </c>
      <c r="AH46" s="341" t="e">
        <f t="shared" si="6"/>
        <v>#DIV/0!</v>
      </c>
      <c r="AI46" s="350" t="e">
        <f t="shared" si="12"/>
        <v>#DIV/0!</v>
      </c>
      <c r="AK46" s="341">
        <f t="shared" si="13"/>
        <v>2.5</v>
      </c>
      <c r="AL46" s="341">
        <f t="shared" si="14"/>
        <v>4</v>
      </c>
      <c r="AM46" s="341">
        <f t="shared" si="15"/>
        <v>0</v>
      </c>
      <c r="AN46" s="341">
        <f t="shared" si="16"/>
        <v>0</v>
      </c>
      <c r="AO46" s="341" t="b">
        <f t="shared" si="17"/>
        <v>0</v>
      </c>
      <c r="AP46" s="341" t="b">
        <f t="shared" si="18"/>
        <v>0</v>
      </c>
      <c r="AS46" s="351">
        <f t="shared" si="19"/>
        <v>4.1280233613360445E-2</v>
      </c>
      <c r="AV46" s="1" t="str">
        <f t="shared" si="20"/>
        <v>AW_S_15</v>
      </c>
      <c r="AW46" s="20">
        <f t="shared" si="21"/>
        <v>235.45715706555418</v>
      </c>
    </row>
    <row r="47" spans="1:49" x14ac:dyDescent="0.2">
      <c r="A47" s="1" t="s">
        <v>25</v>
      </c>
      <c r="B47" s="147">
        <v>4610.0646526803012</v>
      </c>
      <c r="C47" s="208">
        <v>1416.0059408157599</v>
      </c>
      <c r="D47" s="208">
        <v>1449.2034342049101</v>
      </c>
      <c r="E47" s="208">
        <v>1481.6518530870101</v>
      </c>
      <c r="F47" s="207"/>
      <c r="G47" s="207"/>
      <c r="H47" s="207"/>
      <c r="I47" s="207"/>
      <c r="J47" s="207"/>
      <c r="K47" s="84"/>
      <c r="L47" s="54">
        <f t="shared" ref="L47:L52" si="42">AVERAGE(C47:E47)</f>
        <v>1448.95374270256</v>
      </c>
      <c r="M47" s="9">
        <f t="shared" ref="M47:M51" si="43">L47/B47</f>
        <v>0.31430226078502721</v>
      </c>
      <c r="N47" s="9">
        <v>5.0641999999999996</v>
      </c>
      <c r="O47" s="32">
        <v>30.16702400407819</v>
      </c>
      <c r="P47" s="20">
        <f t="shared" ref="P47:Q49" si="44">(B47*$B$3*$B$1)/($N47*(1-$O47%))</f>
        <v>5.4315574214649578</v>
      </c>
      <c r="Q47" s="20">
        <f t="shared" si="44"/>
        <v>1.668331825282467</v>
      </c>
      <c r="R47" s="20">
        <f t="shared" ref="R47:R57" si="45">(D47*$B$3*$B$1)/($N47*(1-$O47%))</f>
        <v>1.7074449625542052</v>
      </c>
      <c r="S47" s="20">
        <f t="shared" ref="S47:S57" si="46">(E47*$B$3*$B$1)/($N47*(1-$O47%))</f>
        <v>1.7456755436137148</v>
      </c>
      <c r="T47" s="20"/>
      <c r="U47" s="20"/>
      <c r="V47" s="20"/>
      <c r="W47" s="20"/>
      <c r="X47" s="20"/>
      <c r="Z47" s="20">
        <f t="shared" si="4"/>
        <v>1.7071507771501291</v>
      </c>
      <c r="AA47" s="20">
        <f t="shared" si="8"/>
        <v>3.8672698381608001E-2</v>
      </c>
      <c r="AB47" s="1">
        <f t="shared" si="9"/>
        <v>1.624429045046548E-5</v>
      </c>
      <c r="AC47" s="2">
        <f t="shared" si="5"/>
        <v>8.7797384691032576</v>
      </c>
      <c r="AD47" s="2">
        <f t="shared" si="10"/>
        <v>2.7594916499404278</v>
      </c>
      <c r="AF47" s="1">
        <f t="shared" si="11"/>
        <v>2.2653358390620393</v>
      </c>
      <c r="AH47">
        <f t="shared" si="6"/>
        <v>3.6238558649800159</v>
      </c>
      <c r="AI47" s="174">
        <f t="shared" si="12"/>
        <v>4</v>
      </c>
      <c r="AK47" s="1">
        <f t="shared" si="13"/>
        <v>2.5</v>
      </c>
      <c r="AL47" s="1">
        <f t="shared" si="14"/>
        <v>4</v>
      </c>
      <c r="AM47" s="1">
        <f t="shared" si="15"/>
        <v>9.1983054998014264</v>
      </c>
      <c r="AN47" s="1">
        <f t="shared" si="16"/>
        <v>14.717288799682281</v>
      </c>
      <c r="AO47" s="1" t="b">
        <f t="shared" si="17"/>
        <v>0</v>
      </c>
      <c r="AP47" s="1" t="b">
        <f t="shared" si="18"/>
        <v>1</v>
      </c>
      <c r="AS47" s="178">
        <f t="shared" si="19"/>
        <v>1.495577600114826E-3</v>
      </c>
      <c r="AV47" s="1" t="str">
        <f t="shared" si="20"/>
        <v>AW_T_1</v>
      </c>
      <c r="AW47" s="20">
        <f t="shared" si="21"/>
        <v>227.75054183889301</v>
      </c>
    </row>
    <row r="48" spans="1:49" x14ac:dyDescent="0.2">
      <c r="A48" s="3" t="s">
        <v>13</v>
      </c>
      <c r="B48" s="147">
        <v>7769.5394306243734</v>
      </c>
      <c r="C48" s="208">
        <v>3195.17624043149</v>
      </c>
      <c r="D48" s="208">
        <v>3288.2409803626201</v>
      </c>
      <c r="E48" s="208">
        <v>3173.8981905901801</v>
      </c>
      <c r="F48" s="207"/>
      <c r="G48" s="207"/>
      <c r="H48" s="207"/>
      <c r="I48" s="207"/>
      <c r="J48" s="207"/>
      <c r="K48" s="70"/>
      <c r="L48" s="54">
        <f t="shared" si="42"/>
        <v>3219.1051371280969</v>
      </c>
      <c r="M48" s="9">
        <f t="shared" si="43"/>
        <v>0.4143238046311587</v>
      </c>
      <c r="N48" s="9">
        <v>5.0102000000000002</v>
      </c>
      <c r="O48" s="32">
        <v>23.902708314451207</v>
      </c>
      <c r="P48" s="20">
        <f t="shared" si="44"/>
        <v>8.4910181715301505</v>
      </c>
      <c r="Q48" s="20">
        <f t="shared" si="44"/>
        <v>3.4918800221038246</v>
      </c>
      <c r="R48" s="20">
        <f t="shared" si="45"/>
        <v>3.5935867455125825</v>
      </c>
      <c r="S48" s="20">
        <f t="shared" si="46"/>
        <v>3.4686260944456224</v>
      </c>
      <c r="T48" s="20"/>
      <c r="U48" s="20"/>
      <c r="V48" s="20"/>
      <c r="W48" s="20"/>
      <c r="X48" s="20"/>
      <c r="Y48" s="30"/>
      <c r="Z48" s="20">
        <f t="shared" si="4"/>
        <v>3.5180309540206767</v>
      </c>
      <c r="AA48" s="20">
        <f t="shared" si="8"/>
        <v>6.6458216262998693E-2</v>
      </c>
      <c r="AB48" s="1">
        <f t="shared" si="9"/>
        <v>2.7377198518035397E-5</v>
      </c>
      <c r="AC48" s="2">
        <f t="shared" si="5"/>
        <v>14.796869320825547</v>
      </c>
      <c r="AD48" s="2">
        <f t="shared" si="10"/>
        <v>6.1306951936345095</v>
      </c>
      <c r="AF48" s="1">
        <f t="shared" si="11"/>
        <v>1.8890742330463333</v>
      </c>
      <c r="AH48">
        <f t="shared" si="6"/>
        <v>1.6311363857043462</v>
      </c>
      <c r="AI48" s="174">
        <f t="shared" si="12"/>
        <v>2</v>
      </c>
      <c r="AK48" s="1">
        <f t="shared" si="13"/>
        <v>2.5</v>
      </c>
      <c r="AL48" s="1">
        <f t="shared" si="14"/>
        <v>4</v>
      </c>
      <c r="AM48" s="1">
        <f t="shared" si="15"/>
        <v>20.435650645448366</v>
      </c>
      <c r="AN48" s="1">
        <f t="shared" si="16"/>
        <v>32.697041032717387</v>
      </c>
      <c r="AO48" s="1" t="b">
        <f t="shared" si="17"/>
        <v>1</v>
      </c>
      <c r="AP48" s="1" t="b">
        <f t="shared" si="18"/>
        <v>1</v>
      </c>
      <c r="AS48" s="178">
        <f t="shared" si="19"/>
        <v>4.4166945088595037E-3</v>
      </c>
      <c r="AV48" s="1" t="str">
        <f t="shared" si="20"/>
        <v>AW_T_2</v>
      </c>
      <c r="AW48" s="20">
        <f t="shared" si="21"/>
        <v>102.51296119343505</v>
      </c>
    </row>
    <row r="49" spans="1:49" x14ac:dyDescent="0.2">
      <c r="A49" s="3" t="s">
        <v>14</v>
      </c>
      <c r="B49" s="147">
        <v>8718.7782580604307</v>
      </c>
      <c r="C49" s="208">
        <v>4505.2992188356102</v>
      </c>
      <c r="D49" s="208">
        <v>4111.21145905101</v>
      </c>
      <c r="E49" s="209">
        <v>7143.3702599181097</v>
      </c>
      <c r="F49" s="209">
        <v>7147.9944797953203</v>
      </c>
      <c r="G49" s="147"/>
      <c r="H49" s="147"/>
      <c r="I49" s="147"/>
      <c r="J49" s="147"/>
      <c r="K49" s="51"/>
      <c r="L49" s="54">
        <f>AVERAGE(C49:D49)</f>
        <v>4308.2553389433106</v>
      </c>
      <c r="M49" s="9">
        <f t="shared" si="43"/>
        <v>0.49413521154301271</v>
      </c>
      <c r="N49" s="9">
        <v>5.0374999999999996</v>
      </c>
      <c r="O49" s="32">
        <v>30.04397011145587</v>
      </c>
      <c r="P49" s="20">
        <f t="shared" si="44"/>
        <v>10.308706549119027</v>
      </c>
      <c r="Q49" s="20">
        <f t="shared" si="44"/>
        <v>5.3268710578818341</v>
      </c>
      <c r="R49" s="20">
        <f t="shared" si="45"/>
        <v>4.8609187248857086</v>
      </c>
      <c r="S49" s="20"/>
      <c r="T49" s="20"/>
      <c r="U49" s="20"/>
      <c r="V49" s="20"/>
      <c r="W49" s="20"/>
      <c r="X49" s="20"/>
      <c r="Y49" s="30"/>
      <c r="Z49" s="20">
        <f t="shared" si="4"/>
        <v>5.0938948913837718</v>
      </c>
      <c r="AA49" s="20">
        <f t="shared" si="8"/>
        <v>0.3294780543712526</v>
      </c>
      <c r="AB49" s="1">
        <f t="shared" si="9"/>
        <v>3.0721991353156601E-5</v>
      </c>
      <c r="AC49" s="2">
        <f t="shared" si="5"/>
        <v>16.604667969541111</v>
      </c>
      <c r="AD49" s="2">
        <f t="shared" si="10"/>
        <v>8.2049511197306852</v>
      </c>
      <c r="AF49" s="1">
        <f t="shared" si="11"/>
        <v>6.4680968374231389</v>
      </c>
      <c r="AH49">
        <f t="shared" si="6"/>
        <v>1.21877630397489</v>
      </c>
      <c r="AI49" s="174">
        <f t="shared" si="12"/>
        <v>2</v>
      </c>
      <c r="AK49" s="1">
        <f t="shared" si="13"/>
        <v>2.5</v>
      </c>
      <c r="AL49" s="1">
        <f t="shared" si="14"/>
        <v>4</v>
      </c>
      <c r="AM49" s="1">
        <f t="shared" si="15"/>
        <v>27.349837065768952</v>
      </c>
      <c r="AN49" s="1">
        <f t="shared" si="16"/>
        <v>43.759739305230319</v>
      </c>
      <c r="AO49" s="1" t="b">
        <f t="shared" si="17"/>
        <v>1</v>
      </c>
      <c r="AP49" s="1" t="b">
        <f t="shared" si="18"/>
        <v>1</v>
      </c>
      <c r="AS49" s="178">
        <f t="shared" si="19"/>
        <v>0.10855578831226609</v>
      </c>
      <c r="AV49" s="1" t="str">
        <f t="shared" si="20"/>
        <v>AW_T_3</v>
      </c>
      <c r="AW49" s="20">
        <f t="shared" si="21"/>
        <v>76.59713132995023</v>
      </c>
    </row>
    <row r="50" spans="1:49" x14ac:dyDescent="0.2">
      <c r="A50" s="1" t="s">
        <v>26</v>
      </c>
      <c r="B50" s="147">
        <v>12960.143000006443</v>
      </c>
      <c r="C50" s="208">
        <v>4195.2522321588203</v>
      </c>
      <c r="D50" s="208">
        <v>4321.1896440123001</v>
      </c>
      <c r="E50" s="208">
        <v>4585.9202583527904</v>
      </c>
      <c r="F50" s="207"/>
      <c r="G50" s="207"/>
      <c r="H50" s="207"/>
      <c r="I50" s="207"/>
      <c r="J50" s="207"/>
      <c r="K50" s="84"/>
      <c r="L50" s="54">
        <f t="shared" si="42"/>
        <v>4367.4540448413036</v>
      </c>
      <c r="M50" s="9">
        <f t="shared" si="43"/>
        <v>0.33699119252304027</v>
      </c>
      <c r="N50" s="9">
        <v>5.0557999999999996</v>
      </c>
      <c r="O50" s="32">
        <v>23.375464684014847</v>
      </c>
      <c r="P50" s="20">
        <f t="shared" ref="P50:Q52" si="47">(B50*$B$3*$B$1)/($N50*(1-$O50%))</f>
        <v>13.939295102186367</v>
      </c>
      <c r="Q50" s="20">
        <f t="shared" si="47"/>
        <v>4.512207843087749</v>
      </c>
      <c r="R50" s="20">
        <f t="shared" si="45"/>
        <v>4.6476599556323688</v>
      </c>
      <c r="S50" s="20">
        <f t="shared" si="46"/>
        <v>4.9323912395289549</v>
      </c>
      <c r="T50" s="20"/>
      <c r="U50" s="20"/>
      <c r="V50" s="20"/>
      <c r="W50" s="20"/>
      <c r="X50" s="20"/>
      <c r="Y50" s="30"/>
      <c r="Z50" s="20">
        <f t="shared" si="4"/>
        <v>4.6974196794163579</v>
      </c>
      <c r="AA50" s="20">
        <f t="shared" si="8"/>
        <v>0.21446571811017029</v>
      </c>
      <c r="AB50" s="1">
        <f t="shared" si="9"/>
        <v>4.5667109473024438E-5</v>
      </c>
      <c r="AC50" s="2">
        <f t="shared" si="5"/>
        <v>24.682227828644461</v>
      </c>
      <c r="AD50" s="2">
        <f t="shared" si="10"/>
        <v>8.317693390100267</v>
      </c>
      <c r="AF50" s="1">
        <f t="shared" si="11"/>
        <v>4.5656069235188523</v>
      </c>
      <c r="AH50">
        <f t="shared" si="6"/>
        <v>1.2022563865965554</v>
      </c>
      <c r="AI50" s="174">
        <f t="shared" si="12"/>
        <v>2</v>
      </c>
      <c r="AK50" s="1">
        <f t="shared" si="13"/>
        <v>2.5</v>
      </c>
      <c r="AL50" s="1">
        <f t="shared" si="14"/>
        <v>4</v>
      </c>
      <c r="AM50" s="1">
        <f t="shared" si="15"/>
        <v>27.725644633667557</v>
      </c>
      <c r="AN50" s="1">
        <f t="shared" si="16"/>
        <v>44.361031413868091</v>
      </c>
      <c r="AO50" s="1" t="b">
        <f t="shared" si="17"/>
        <v>1</v>
      </c>
      <c r="AP50" s="1" t="b">
        <f t="shared" si="18"/>
        <v>1</v>
      </c>
      <c r="AS50" s="178">
        <f t="shared" si="19"/>
        <v>4.5995544244511022E-2</v>
      </c>
      <c r="AV50" s="1" t="str">
        <f t="shared" si="20"/>
        <v>AW_T_4</v>
      </c>
      <c r="AW50" s="20">
        <f t="shared" si="21"/>
        <v>75.558894635602499</v>
      </c>
    </row>
    <row r="51" spans="1:49" x14ac:dyDescent="0.2">
      <c r="A51" s="1" t="s">
        <v>27</v>
      </c>
      <c r="B51" s="147">
        <v>7009.6424244810078</v>
      </c>
      <c r="C51" s="208">
        <v>1373.57670616874</v>
      </c>
      <c r="D51" s="208">
        <v>1944.9344458293299</v>
      </c>
      <c r="E51" s="208">
        <v>1954.7799657186999</v>
      </c>
      <c r="F51" s="207"/>
      <c r="G51" s="207"/>
      <c r="H51" s="207"/>
      <c r="I51" s="207"/>
      <c r="J51" s="207"/>
      <c r="K51" s="84"/>
      <c r="L51" s="54">
        <f t="shared" si="42"/>
        <v>1757.7637059055899</v>
      </c>
      <c r="M51" s="9">
        <f t="shared" si="43"/>
        <v>0.25076367658450627</v>
      </c>
      <c r="N51" s="9">
        <v>5.0183999999999997</v>
      </c>
      <c r="O51" s="32">
        <v>24.873961979555215</v>
      </c>
      <c r="P51" s="20">
        <f t="shared" si="47"/>
        <v>7.7469162753176057</v>
      </c>
      <c r="Q51" s="20">
        <f t="shared" si="47"/>
        <v>1.5180494376221505</v>
      </c>
      <c r="R51" s="20">
        <f t="shared" si="45"/>
        <v>2.1495025566780801</v>
      </c>
      <c r="S51" s="20">
        <f t="shared" si="46"/>
        <v>2.1603836278727453</v>
      </c>
      <c r="T51" s="20"/>
      <c r="U51" s="20"/>
      <c r="V51" s="20"/>
      <c r="W51" s="20"/>
      <c r="X51" s="20"/>
      <c r="Y51" s="30"/>
      <c r="Z51" s="20">
        <f t="shared" si="4"/>
        <v>1.9426452073909919</v>
      </c>
      <c r="AA51" s="20">
        <f t="shared" si="8"/>
        <v>0.36775096900862275</v>
      </c>
      <c r="AB51" s="1">
        <f t="shared" si="9"/>
        <v>2.4699581475711455E-5</v>
      </c>
      <c r="AC51" s="2">
        <f t="shared" si="5"/>
        <v>13.349666845364741</v>
      </c>
      <c r="AD51" s="2">
        <f t="shared" si="10"/>
        <v>3.3476115393219499</v>
      </c>
      <c r="AF51" s="1">
        <f t="shared" si="11"/>
        <v>18.930423713474632</v>
      </c>
      <c r="AH51">
        <f t="shared" si="6"/>
        <v>2.9872044239713293</v>
      </c>
      <c r="AI51" s="174">
        <f t="shared" si="12"/>
        <v>3</v>
      </c>
      <c r="AK51" s="1">
        <f t="shared" si="13"/>
        <v>2.5</v>
      </c>
      <c r="AL51" s="1">
        <f t="shared" si="14"/>
        <v>4</v>
      </c>
      <c r="AM51" s="1">
        <f t="shared" si="15"/>
        <v>11.158705131073168</v>
      </c>
      <c r="AN51" s="1">
        <f t="shared" si="16"/>
        <v>17.853928209717065</v>
      </c>
      <c r="AO51" s="1" t="b">
        <f t="shared" si="17"/>
        <v>1</v>
      </c>
      <c r="AP51" s="1" t="b">
        <f t="shared" si="18"/>
        <v>1</v>
      </c>
      <c r="AS51" s="178">
        <f t="shared" si="19"/>
        <v>0.13524077520678102</v>
      </c>
      <c r="AV51" s="1" t="str">
        <f t="shared" si="20"/>
        <v>AW_T_5</v>
      </c>
      <c r="AW51" s="20">
        <f t="shared" si="21"/>
        <v>187.73854465835944</v>
      </c>
    </row>
    <row r="52" spans="1:49" x14ac:dyDescent="0.2">
      <c r="A52" s="1" t="s">
        <v>28</v>
      </c>
      <c r="B52" s="147">
        <v>7042.5716880960517</v>
      </c>
      <c r="C52" s="208">
        <v>2202.4689552632899</v>
      </c>
      <c r="D52" s="208">
        <v>2025.2848979616001</v>
      </c>
      <c r="E52" s="208">
        <v>2073.6513953597901</v>
      </c>
      <c r="F52" s="207"/>
      <c r="G52" s="207"/>
      <c r="H52" s="207"/>
      <c r="I52" s="207"/>
      <c r="J52" s="207"/>
      <c r="K52" s="84"/>
      <c r="L52" s="54">
        <f t="shared" si="42"/>
        <v>2100.4684161948935</v>
      </c>
      <c r="M52" s="9">
        <f>L52/B52</f>
        <v>0.29825304011392351</v>
      </c>
      <c r="N52" s="9">
        <v>5.0049000000000001</v>
      </c>
      <c r="O52" s="32">
        <v>17.842998290740834</v>
      </c>
      <c r="P52" s="20">
        <f t="shared" si="47"/>
        <v>7.1364142013967857</v>
      </c>
      <c r="Q52" s="20">
        <f t="shared" si="47"/>
        <v>2.2318169308867546</v>
      </c>
      <c r="R52" s="20">
        <f t="shared" si="45"/>
        <v>2.0522718898435559</v>
      </c>
      <c r="S52" s="20">
        <f t="shared" si="46"/>
        <v>2.1012828725059949</v>
      </c>
      <c r="T52" s="20"/>
      <c r="U52" s="20"/>
      <c r="V52" s="20"/>
      <c r="W52" s="20"/>
      <c r="X52" s="20"/>
      <c r="Y52" s="30"/>
      <c r="Z52" s="20">
        <f t="shared" si="4"/>
        <v>2.1284572310787686</v>
      </c>
      <c r="AA52" s="20">
        <f t="shared" si="8"/>
        <v>9.2805925261710692E-2</v>
      </c>
      <c r="AB52" s="1">
        <f t="shared" si="9"/>
        <v>2.4815612933572185E-5</v>
      </c>
      <c r="AC52" s="2">
        <f t="shared" si="5"/>
        <v>13.412379701756494</v>
      </c>
      <c r="AD52" s="2">
        <f t="shared" si="10"/>
        <v>4.0002830212111533</v>
      </c>
      <c r="AF52" s="1">
        <f t="shared" si="11"/>
        <v>4.3602438379592785</v>
      </c>
      <c r="AH52">
        <f t="shared" si="6"/>
        <v>2.4998231242579259</v>
      </c>
      <c r="AI52" s="174">
        <f>ROUNDUP(AH52,0)</f>
        <v>3</v>
      </c>
      <c r="AK52" s="1">
        <f t="shared" si="13"/>
        <v>2.5</v>
      </c>
      <c r="AL52" s="1">
        <f t="shared" si="14"/>
        <v>4</v>
      </c>
      <c r="AM52" s="1">
        <f t="shared" si="15"/>
        <v>13.33427673737051</v>
      </c>
      <c r="AN52" s="1">
        <f t="shared" si="16"/>
        <v>21.334842779792819</v>
      </c>
      <c r="AO52" s="1" t="b">
        <f t="shared" si="17"/>
        <v>1</v>
      </c>
      <c r="AP52" s="1" t="b">
        <f t="shared" si="18"/>
        <v>1</v>
      </c>
      <c r="AS52" s="178">
        <f t="shared" si="19"/>
        <v>8.6129397636822303E-3</v>
      </c>
      <c r="AV52" s="1" t="str">
        <f t="shared" si="20"/>
        <v>AW_T_6</v>
      </c>
      <c r="AW52" s="20">
        <f t="shared" si="21"/>
        <v>157.10781340755028</v>
      </c>
    </row>
    <row r="53" spans="1:49" s="33" customFormat="1" x14ac:dyDescent="0.2">
      <c r="A53" s="33" t="s">
        <v>15</v>
      </c>
      <c r="B53" s="207">
        <v>1661.5904497868867</v>
      </c>
      <c r="C53" s="208">
        <v>747.69860449395492</v>
      </c>
      <c r="D53" s="208">
        <v>755.82105800600004</v>
      </c>
      <c r="E53" s="208">
        <v>799.15986340526001</v>
      </c>
      <c r="F53" s="208">
        <v>422.04142515445801</v>
      </c>
      <c r="G53" s="208">
        <v>769.87718065601803</v>
      </c>
      <c r="H53" s="208">
        <v>771.19615537040102</v>
      </c>
      <c r="I53" s="207"/>
      <c r="J53" s="207"/>
      <c r="K53" s="84"/>
      <c r="L53" s="61">
        <f>AVERAGEA(C53:J53)</f>
        <v>710.96571451434875</v>
      </c>
      <c r="M53" s="9">
        <f>L53/B53</f>
        <v>0.42788264376792501</v>
      </c>
      <c r="N53" s="34">
        <v>5.0148999999999999</v>
      </c>
      <c r="O53" s="35">
        <v>25.688794685296113</v>
      </c>
      <c r="P53" s="36">
        <f>(B53*$B$3*$B$1)/($N53*(1-$O53%))</f>
        <v>1.8577880403741593</v>
      </c>
      <c r="Q53" s="36">
        <f>(C53*$B$3*$B$1)/($N53*(1-$O53%))</f>
        <v>0.83598550136796823</v>
      </c>
      <c r="R53" s="36">
        <f t="shared" si="45"/>
        <v>0.84506703947810113</v>
      </c>
      <c r="S53" s="36">
        <f t="shared" si="46"/>
        <v>0.89352321251711619</v>
      </c>
      <c r="T53" s="36">
        <f t="shared" ref="T53:X56" si="48">(F53*$B$3*$B$1)/($N53*(1-$O53%))</f>
        <v>0.47187531217152878</v>
      </c>
      <c r="U53" s="36">
        <f t="shared" si="48"/>
        <v>0.86078288363006117</v>
      </c>
      <c r="V53" s="36">
        <f t="shared" si="48"/>
        <v>0.8622576004895921</v>
      </c>
      <c r="W53" s="36"/>
      <c r="X53" s="36"/>
      <c r="Y53" s="165">
        <v>5</v>
      </c>
      <c r="Z53" s="36">
        <f t="shared" si="4"/>
        <v>0.79491525827572795</v>
      </c>
      <c r="AA53" s="20">
        <f t="shared" si="8"/>
        <v>0.15947027094024119</v>
      </c>
      <c r="AB53" s="33">
        <f t="shared" si="9"/>
        <v>5.8548762131491875E-6</v>
      </c>
      <c r="AC53" s="157">
        <f t="shared" si="5"/>
        <v>3.1644522779971918</v>
      </c>
      <c r="AD53" s="2">
        <f t="shared" si="10"/>
        <v>1.3540142067868712</v>
      </c>
      <c r="AF53" s="33">
        <f t="shared" si="11"/>
        <v>20.061291977984226</v>
      </c>
      <c r="AH53">
        <f t="shared" si="6"/>
        <v>7.3854468807460982</v>
      </c>
      <c r="AI53" s="174">
        <f t="shared" si="12"/>
        <v>8</v>
      </c>
      <c r="AK53" s="1">
        <f t="shared" si="13"/>
        <v>2.5</v>
      </c>
      <c r="AL53" s="1">
        <f t="shared" si="14"/>
        <v>4</v>
      </c>
      <c r="AM53" s="1">
        <f t="shared" si="15"/>
        <v>4.5133806892895709</v>
      </c>
      <c r="AN53" s="1">
        <f t="shared" si="16"/>
        <v>7.2214091028633129</v>
      </c>
      <c r="AO53" s="1" t="b">
        <f t="shared" si="17"/>
        <v>0</v>
      </c>
      <c r="AP53" s="1" t="b">
        <f t="shared" si="18"/>
        <v>0</v>
      </c>
      <c r="AQ53" s="1"/>
      <c r="AR53" s="1"/>
      <c r="AS53" s="178">
        <f t="shared" si="19"/>
        <v>2.5430767313753933E-2</v>
      </c>
      <c r="AV53" s="1" t="str">
        <f t="shared" si="20"/>
        <v>AW_T_7</v>
      </c>
      <c r="AW53" s="20">
        <f t="shared" si="21"/>
        <v>464.15740346272344</v>
      </c>
    </row>
    <row r="54" spans="1:49" s="33" customFormat="1" x14ac:dyDescent="0.2">
      <c r="A54" s="33" t="s">
        <v>16</v>
      </c>
      <c r="B54" s="207">
        <v>1386</v>
      </c>
      <c r="C54" s="208">
        <v>590.86344691375996</v>
      </c>
      <c r="D54" s="208">
        <v>586.49599378767493</v>
      </c>
      <c r="E54" s="208">
        <v>617.61517027694003</v>
      </c>
      <c r="F54" s="208">
        <v>662.21972703746803</v>
      </c>
      <c r="G54" s="208">
        <v>677.24856991771003</v>
      </c>
      <c r="H54" s="208">
        <v>680.00815033885794</v>
      </c>
      <c r="I54" s="207"/>
      <c r="J54" s="207"/>
      <c r="K54" s="207"/>
      <c r="L54" s="61">
        <f>AVERAGE(C54:H54)</f>
        <v>635.74184304540177</v>
      </c>
      <c r="M54" s="9">
        <f>L54/B54</f>
        <v>0.45868819844545583</v>
      </c>
      <c r="N54" s="34">
        <v>4.9980000000000002</v>
      </c>
      <c r="O54" s="35">
        <v>27.01578901043991</v>
      </c>
      <c r="P54" s="36">
        <f>(B54*$B$3*$B$1)/($N54*(1-$O54%))</f>
        <v>1.5831673305877498</v>
      </c>
      <c r="Q54" s="36">
        <f>(C54*$B$3*$B$1)/($N54*(1-$O54%))</f>
        <v>0.67491753679100563</v>
      </c>
      <c r="R54" s="36">
        <f t="shared" si="45"/>
        <v>0.66992878563148828</v>
      </c>
      <c r="S54" s="36">
        <f t="shared" si="46"/>
        <v>0.70547486324519593</v>
      </c>
      <c r="T54" s="36">
        <f t="shared" ref="T54:T56" si="49">(F54*$B$3*$B$1)/($N54*(1-$O54%))</f>
        <v>0.75642470239282567</v>
      </c>
      <c r="U54" s="36">
        <f t="shared" ref="U54:U56" si="50">(G54*$B$3*$B$1)/($N54*(1-$O54%))</f>
        <v>0.77359149392567972</v>
      </c>
      <c r="V54" s="36">
        <f t="shared" ref="V54:V56" si="51">(H54*$B$3*$B$1)/($N54*(1-$O54%))</f>
        <v>0.77674364224378278</v>
      </c>
      <c r="W54" s="36"/>
      <c r="X54" s="36"/>
      <c r="Y54" s="165">
        <v>5</v>
      </c>
      <c r="Z54" s="36">
        <f t="shared" si="4"/>
        <v>0.7261801707049963</v>
      </c>
      <c r="AA54" s="20">
        <f t="shared" si="8"/>
        <v>4.886719888861786E-2</v>
      </c>
      <c r="AB54" s="33">
        <f t="shared" si="9"/>
        <v>4.8837897644787094E-6</v>
      </c>
      <c r="AC54" s="157">
        <f t="shared" si="5"/>
        <v>2.6395980175900999</v>
      </c>
      <c r="AD54" s="2">
        <f t="shared" si="10"/>
        <v>1.2107524593085996</v>
      </c>
      <c r="AF54" s="33">
        <f t="shared" si="11"/>
        <v>6.7293491147212405</v>
      </c>
      <c r="AH54">
        <f t="shared" si="6"/>
        <v>8.2593266056304362</v>
      </c>
      <c r="AI54" s="174">
        <f t="shared" si="12"/>
        <v>9</v>
      </c>
      <c r="AK54" s="1">
        <f t="shared" si="13"/>
        <v>2.5</v>
      </c>
      <c r="AL54" s="1">
        <f t="shared" si="14"/>
        <v>4</v>
      </c>
      <c r="AM54" s="1">
        <f t="shared" si="15"/>
        <v>4.0358415310286651</v>
      </c>
      <c r="AN54" s="1">
        <f t="shared" si="16"/>
        <v>6.4573464496458648</v>
      </c>
      <c r="AO54" s="1" t="b">
        <f t="shared" si="17"/>
        <v>0</v>
      </c>
      <c r="AP54" s="1" t="b">
        <f t="shared" si="18"/>
        <v>0</v>
      </c>
      <c r="AQ54" s="1"/>
      <c r="AR54" s="1"/>
      <c r="AS54" s="178">
        <f t="shared" si="19"/>
        <v>2.3880031272197348E-3</v>
      </c>
      <c r="AV54" s="1" t="str">
        <f t="shared" si="20"/>
        <v>AW_T_8</v>
      </c>
      <c r="AW54" s="20">
        <f t="shared" si="21"/>
        <v>519.07862225836368</v>
      </c>
    </row>
    <row r="55" spans="1:49" s="33" customFormat="1" x14ac:dyDescent="0.2">
      <c r="A55" s="33" t="s">
        <v>119</v>
      </c>
      <c r="B55" s="207"/>
      <c r="C55" s="208">
        <v>1845.59704989548</v>
      </c>
      <c r="D55" s="208">
        <v>1852.5756587430001</v>
      </c>
      <c r="E55" s="208">
        <v>1885.92599639941</v>
      </c>
      <c r="F55" s="208">
        <v>1898.9903526697201</v>
      </c>
      <c r="G55" s="208">
        <v>2001.89982310143</v>
      </c>
      <c r="H55" s="208">
        <v>1923.8447465213301</v>
      </c>
      <c r="I55" s="208">
        <v>1869.8113896985401</v>
      </c>
      <c r="J55" s="208">
        <v>1900.7969857244</v>
      </c>
      <c r="K55" s="214">
        <v>1818.10471468841</v>
      </c>
      <c r="L55" s="61">
        <f>AVERAGE(C55:J55)</f>
        <v>1897.4302503441638</v>
      </c>
      <c r="M55" s="9"/>
      <c r="N55" s="34">
        <f>[8]Extraction!$Q$28</f>
        <v>5.0132000000000003</v>
      </c>
      <c r="O55" s="35">
        <f>[8]Water_content!$V$28</f>
        <v>29.328651699818732</v>
      </c>
      <c r="Q55" s="36">
        <f t="shared" ref="Q55:Q57" si="52">(C55*$B$3*$B$1)/($N55*(1-$O55%))</f>
        <v>2.1705372204838476</v>
      </c>
      <c r="R55" s="36">
        <f t="shared" si="45"/>
        <v>2.1787444996684333</v>
      </c>
      <c r="S55" s="36">
        <f t="shared" si="46"/>
        <v>2.2179665764500585</v>
      </c>
      <c r="T55" s="36">
        <f t="shared" si="49"/>
        <v>2.2333310741056955</v>
      </c>
      <c r="U55" s="36">
        <f t="shared" si="50"/>
        <v>2.3543590286773384</v>
      </c>
      <c r="V55" s="36">
        <f t="shared" si="51"/>
        <v>2.2625613911733025</v>
      </c>
      <c r="W55" s="36">
        <f t="shared" si="48"/>
        <v>2.1990147940771529</v>
      </c>
      <c r="X55" s="36">
        <f t="shared" si="48"/>
        <v>2.2354557872380454</v>
      </c>
      <c r="Y55" s="34"/>
      <c r="Z55" s="36">
        <f t="shared" si="4"/>
        <v>2.2314962964842344</v>
      </c>
      <c r="AA55" s="20">
        <f t="shared" si="8"/>
        <v>6.7245650604000923E-2</v>
      </c>
      <c r="AB55" s="33">
        <f t="shared" si="9"/>
        <v>0</v>
      </c>
      <c r="AC55" s="157">
        <f t="shared" si="5"/>
        <v>0</v>
      </c>
      <c r="AD55" s="2">
        <f t="shared" si="10"/>
        <v>0</v>
      </c>
      <c r="AF55" s="33">
        <f t="shared" si="11"/>
        <v>3.0134780286190814</v>
      </c>
      <c r="AH55" t="e">
        <f t="shared" si="6"/>
        <v>#DIV/0!</v>
      </c>
      <c r="AI55" s="174" t="e">
        <f t="shared" si="12"/>
        <v>#DIV/0!</v>
      </c>
      <c r="AK55" s="1">
        <f t="shared" si="13"/>
        <v>2.5</v>
      </c>
      <c r="AL55" s="1">
        <f t="shared" si="14"/>
        <v>4</v>
      </c>
      <c r="AM55" s="1">
        <f t="shared" si="15"/>
        <v>0</v>
      </c>
      <c r="AN55" s="1">
        <f t="shared" si="16"/>
        <v>0</v>
      </c>
      <c r="AO55" s="1" t="b">
        <f t="shared" si="17"/>
        <v>0</v>
      </c>
      <c r="AP55" s="1" t="b">
        <f t="shared" si="18"/>
        <v>0</v>
      </c>
      <c r="AQ55" s="1"/>
      <c r="AR55" s="1"/>
      <c r="AS55" s="178">
        <f t="shared" si="19"/>
        <v>4.5219775251553697E-3</v>
      </c>
      <c r="AV55" s="1" t="str">
        <f t="shared" si="20"/>
        <v>AW_T_9</v>
      </c>
      <c r="AW55" s="20">
        <f t="shared" si="21"/>
        <v>173.91943653272273</v>
      </c>
    </row>
    <row r="56" spans="1:49" x14ac:dyDescent="0.2">
      <c r="A56" s="1" t="s">
        <v>176</v>
      </c>
      <c r="B56" s="147">
        <v>7769</v>
      </c>
      <c r="C56" s="209">
        <v>2299.3398548580799</v>
      </c>
      <c r="D56" s="209">
        <v>2451.77801132579</v>
      </c>
      <c r="E56" s="209">
        <v>2427.84168320955</v>
      </c>
      <c r="F56" s="209">
        <v>2675.0960978766898</v>
      </c>
      <c r="G56" s="209">
        <v>2600.3062562526402</v>
      </c>
      <c r="H56" s="209">
        <v>2866.0764863220802</v>
      </c>
      <c r="I56" s="147">
        <v>5118.7989372612201</v>
      </c>
      <c r="J56" s="147">
        <v>5307.7618954849404</v>
      </c>
      <c r="L56" s="54">
        <f>AVERAGE(C56:H56)</f>
        <v>2553.4063983074716</v>
      </c>
      <c r="M56" s="9">
        <f t="shared" ref="M56:M58" si="53">L56/B56</f>
        <v>0.32866603144645018</v>
      </c>
      <c r="N56" s="9">
        <f>[8]Extraction!$Q$31</f>
        <v>4.9997999999999996</v>
      </c>
      <c r="O56" s="32">
        <f>[8]Water_content!$V$31</f>
        <v>17.822154256860923</v>
      </c>
      <c r="P56" s="33"/>
      <c r="Q56" s="36">
        <f t="shared" ref="Q56" si="54">(C56*$B$3*$B$1)/($N56*(1-$O56%))</f>
        <v>2.3317637206409554</v>
      </c>
      <c r="R56" s="36">
        <f t="shared" si="45"/>
        <v>2.4863514655286005</v>
      </c>
      <c r="S56" s="36">
        <f t="shared" si="46"/>
        <v>2.4620776021460813</v>
      </c>
      <c r="T56" s="36">
        <f t="shared" si="49"/>
        <v>2.7128186453507346</v>
      </c>
      <c r="U56" s="36">
        <f t="shared" si="50"/>
        <v>2.6369741637257227</v>
      </c>
      <c r="V56" s="36">
        <f t="shared" si="51"/>
        <v>2.906492120887636</v>
      </c>
      <c r="W56" s="36">
        <f t="shared" si="48"/>
        <v>5.1909810678673667</v>
      </c>
      <c r="X56" s="36">
        <f t="shared" si="48"/>
        <v>5.3826086646317686</v>
      </c>
      <c r="Y56" s="30"/>
      <c r="Z56" s="20">
        <f t="shared" si="4"/>
        <v>2.5894129530466214</v>
      </c>
      <c r="AA56" s="20">
        <f t="shared" si="8"/>
        <v>0.20554771761841062</v>
      </c>
      <c r="AB56" s="1">
        <f t="shared" si="9"/>
        <v>2.7375297749087374E-5</v>
      </c>
      <c r="AC56" s="2">
        <f t="shared" si="5"/>
        <v>14.795841990373365</v>
      </c>
      <c r="AD56" s="2">
        <f t="shared" si="10"/>
        <v>4.8628906688847602</v>
      </c>
      <c r="AF56" s="1">
        <f t="shared" si="11"/>
        <v>7.9380045340612684</v>
      </c>
      <c r="AH56">
        <f t="shared" si="6"/>
        <v>2.0563900529339616</v>
      </c>
      <c r="AI56" s="174">
        <f t="shared" si="12"/>
        <v>3</v>
      </c>
      <c r="AK56" s="1">
        <f t="shared" si="13"/>
        <v>2.5</v>
      </c>
      <c r="AL56" s="1">
        <f t="shared" si="14"/>
        <v>4</v>
      </c>
      <c r="AM56" s="1">
        <f t="shared" si="15"/>
        <v>16.209635562949199</v>
      </c>
      <c r="AN56" s="1">
        <f t="shared" si="16"/>
        <v>25.935416900718721</v>
      </c>
      <c r="AO56" s="1" t="b">
        <f t="shared" si="17"/>
        <v>1</v>
      </c>
      <c r="AP56" s="1" t="b">
        <f t="shared" si="18"/>
        <v>1</v>
      </c>
      <c r="AS56" s="178">
        <f t="shared" si="19"/>
        <v>4.2249864218137874E-2</v>
      </c>
      <c r="AV56" s="1" t="str">
        <f t="shared" si="20"/>
        <v>AW_T_10</v>
      </c>
      <c r="AW56" s="20">
        <f t="shared" si="21"/>
        <v>129.23912159801154</v>
      </c>
    </row>
    <row r="57" spans="1:49" s="33" customFormat="1" x14ac:dyDescent="0.2">
      <c r="A57" s="33" t="s">
        <v>177</v>
      </c>
      <c r="B57" s="207">
        <v>4381</v>
      </c>
      <c r="C57" s="208">
        <v>2422.2036891705902</v>
      </c>
      <c r="D57" s="208">
        <v>2450.2827261574698</v>
      </c>
      <c r="E57" s="208">
        <v>2430.1659515736901</v>
      </c>
      <c r="F57" s="207"/>
      <c r="G57" s="207"/>
      <c r="H57" s="207"/>
      <c r="K57" s="53"/>
      <c r="L57" s="61">
        <f>AVERAGE(C57:E57)</f>
        <v>2434.2174556339164</v>
      </c>
      <c r="M57" s="9">
        <f t="shared" si="53"/>
        <v>0.55563055367128888</v>
      </c>
      <c r="N57" s="34">
        <f>[8]Extraction!$Q$34</f>
        <v>5.0027999999999997</v>
      </c>
      <c r="O57" s="35">
        <f>[8]Water_content!$V$34</f>
        <v>30.382050070659812</v>
      </c>
      <c r="Q57" s="36">
        <f t="shared" si="52"/>
        <v>2.8977775807576323</v>
      </c>
      <c r="R57" s="36">
        <f t="shared" si="45"/>
        <v>2.9313696375419669</v>
      </c>
      <c r="S57" s="36">
        <f t="shared" si="46"/>
        <v>2.9073031485647363</v>
      </c>
      <c r="T57" s="36"/>
      <c r="U57" s="36"/>
      <c r="V57" s="36"/>
      <c r="W57" s="36"/>
      <c r="X57" s="36"/>
      <c r="Y57" s="34"/>
      <c r="Z57" s="36">
        <f t="shared" si="4"/>
        <v>2.9121501222881117</v>
      </c>
      <c r="AA57" s="20">
        <f t="shared" si="8"/>
        <v>1.731260914642303E-2</v>
      </c>
      <c r="AB57" s="33">
        <f t="shared" si="9"/>
        <v>1.5437144991472748E-5</v>
      </c>
      <c r="AC57" s="157">
        <f t="shared" si="5"/>
        <v>8.3434912807086796</v>
      </c>
      <c r="AD57" s="2">
        <f t="shared" si="10"/>
        <v>4.635898679851735</v>
      </c>
      <c r="AF57" s="33">
        <f t="shared" si="11"/>
        <v>0.59449576496490164</v>
      </c>
      <c r="AH57">
        <f t="shared" si="6"/>
        <v>2.1570790672068396</v>
      </c>
      <c r="AI57" s="174">
        <f t="shared" si="12"/>
        <v>3</v>
      </c>
      <c r="AK57" s="1">
        <f t="shared" si="13"/>
        <v>2.5</v>
      </c>
      <c r="AL57" s="1">
        <f t="shared" si="14"/>
        <v>4</v>
      </c>
      <c r="AM57" s="1">
        <f t="shared" si="15"/>
        <v>15.452995599505783</v>
      </c>
      <c r="AN57" s="1">
        <f t="shared" si="16"/>
        <v>24.724792959209253</v>
      </c>
      <c r="AO57" s="1" t="b">
        <f t="shared" si="17"/>
        <v>1</v>
      </c>
      <c r="AP57" s="1" t="b">
        <f t="shared" si="18"/>
        <v>1</v>
      </c>
      <c r="AQ57" s="1"/>
      <c r="AR57" s="1"/>
      <c r="AS57" s="178">
        <f t="shared" si="19"/>
        <v>2.9972643545681036E-4</v>
      </c>
      <c r="AV57" s="1" t="str">
        <f t="shared" si="20"/>
        <v>AW_T_11</v>
      </c>
      <c r="AW57" s="20">
        <f t="shared" si="21"/>
        <v>135.56718165676853</v>
      </c>
    </row>
    <row r="58" spans="1:49" s="341" customFormat="1" x14ac:dyDescent="0.2">
      <c r="A58" s="341" t="s">
        <v>178</v>
      </c>
      <c r="B58" s="342">
        <v>2866</v>
      </c>
      <c r="C58" s="343">
        <v>2587.5151074012301</v>
      </c>
      <c r="D58" s="342" t="s">
        <v>210</v>
      </c>
      <c r="E58" s="342" t="s">
        <v>210</v>
      </c>
      <c r="F58" s="342"/>
      <c r="G58" s="342"/>
      <c r="H58" s="342"/>
      <c r="I58" s="342"/>
      <c r="J58" s="342"/>
      <c r="K58" s="344"/>
      <c r="L58" s="345">
        <f t="shared" ref="L58" si="55">AVERAGE(C58:E58)</f>
        <v>2587.5151074012301</v>
      </c>
      <c r="M58" s="346">
        <f t="shared" si="53"/>
        <v>0.90283150990971039</v>
      </c>
      <c r="N58" s="346">
        <f>[8]Extraction!$Q$37</f>
        <v>5.0228000000000002</v>
      </c>
      <c r="O58" s="347">
        <f>[8]Water_content!$V$37</f>
        <v>32.785200433011063</v>
      </c>
      <c r="Y58" s="346"/>
      <c r="Z58" s="348">
        <f t="shared" si="4"/>
        <v>3.1934554277577418</v>
      </c>
      <c r="AA58" s="348">
        <f t="shared" ref="AA58:AA61" si="56">Z58*0.15</f>
        <v>0.47901831416366125</v>
      </c>
      <c r="AB58" s="341">
        <f t="shared" si="9"/>
        <v>1.0098803365797969E-5</v>
      </c>
      <c r="AC58" s="349">
        <f t="shared" si="5"/>
        <v>5.4582163913515345</v>
      </c>
      <c r="AD58" s="349">
        <f t="shared" si="10"/>
        <v>4.927849746017837</v>
      </c>
      <c r="AH58" s="341">
        <f t="shared" si="6"/>
        <v>2.029282651745</v>
      </c>
      <c r="AI58" s="350">
        <f t="shared" si="12"/>
        <v>3</v>
      </c>
      <c r="AK58" s="341">
        <f t="shared" si="13"/>
        <v>2.5</v>
      </c>
      <c r="AL58" s="341">
        <f t="shared" si="14"/>
        <v>4</v>
      </c>
      <c r="AM58" s="341">
        <f t="shared" si="15"/>
        <v>16.426165820059456</v>
      </c>
      <c r="AN58" s="341">
        <f t="shared" si="16"/>
        <v>26.281865312095132</v>
      </c>
      <c r="AO58" s="341" t="b">
        <f t="shared" si="17"/>
        <v>1</v>
      </c>
      <c r="AP58" s="341" t="b">
        <f t="shared" si="18"/>
        <v>1</v>
      </c>
      <c r="AS58" s="351">
        <f t="shared" si="19"/>
        <v>0.22945854530419607</v>
      </c>
      <c r="AV58" s="1" t="str">
        <f t="shared" si="20"/>
        <v>AW_T_12</v>
      </c>
      <c r="AW58" s="20">
        <f t="shared" si="21"/>
        <v>127.53548725419245</v>
      </c>
    </row>
    <row r="59" spans="1:49" s="33" customFormat="1" x14ac:dyDescent="0.2">
      <c r="A59" s="33" t="s">
        <v>179</v>
      </c>
      <c r="B59" s="207">
        <v>2739</v>
      </c>
      <c r="C59" s="208">
        <v>2668.6772539170602</v>
      </c>
      <c r="D59" s="208">
        <f>B59*B6</f>
        <v>1204.4174021540955</v>
      </c>
      <c r="E59" s="207">
        <v>3530.0870915620499</v>
      </c>
      <c r="F59" s="207">
        <v>3561.8923113125102</v>
      </c>
      <c r="G59" s="207">
        <v>3482.8368944602398</v>
      </c>
      <c r="K59" s="53"/>
      <c r="L59" s="61">
        <f>AVERAGE(C59:E59)</f>
        <v>2467.7272492110683</v>
      </c>
      <c r="M59" s="9"/>
      <c r="N59" s="34">
        <f>[8]Extraction!$Q$40</f>
        <v>5.0401999999999996</v>
      </c>
      <c r="O59" s="35">
        <f>[8]Water_content!$V$40</f>
        <v>20.190814038707078</v>
      </c>
      <c r="Y59" s="34"/>
      <c r="Z59" s="36">
        <f t="shared" si="4"/>
        <v>2.5561436925926926</v>
      </c>
      <c r="AA59" s="20">
        <f t="shared" si="56"/>
        <v>0.38342155388890387</v>
      </c>
      <c r="AB59" s="33">
        <f t="shared" si="9"/>
        <v>9.6512988202793555E-6</v>
      </c>
      <c r="AC59" s="157">
        <f t="shared" si="5"/>
        <v>5.2163484633328165</v>
      </c>
      <c r="AD59" s="2">
        <f t="shared" si="10"/>
        <v>0</v>
      </c>
      <c r="AH59" t="e">
        <f t="shared" si="6"/>
        <v>#DIV/0!</v>
      </c>
      <c r="AI59" s="174" t="e">
        <f t="shared" si="12"/>
        <v>#DIV/0!</v>
      </c>
      <c r="AK59" s="1">
        <f t="shared" si="13"/>
        <v>2.5</v>
      </c>
      <c r="AL59" s="1">
        <f t="shared" si="14"/>
        <v>4</v>
      </c>
      <c r="AM59" s="1">
        <f t="shared" si="15"/>
        <v>0</v>
      </c>
      <c r="AN59" s="1">
        <f t="shared" si="16"/>
        <v>0</v>
      </c>
      <c r="AO59" s="1" t="b">
        <f t="shared" si="17"/>
        <v>0</v>
      </c>
      <c r="AP59" s="1" t="b">
        <f t="shared" si="18"/>
        <v>0</v>
      </c>
      <c r="AQ59" s="1"/>
      <c r="AR59" s="1"/>
      <c r="AS59" s="178">
        <f t="shared" si="19"/>
        <v>0.14701208798658161</v>
      </c>
      <c r="AV59" s="1" t="str">
        <f t="shared" si="20"/>
        <v>AW_T_13</v>
      </c>
      <c r="AW59" s="20">
        <f t="shared" si="21"/>
        <v>133.72628604133658</v>
      </c>
    </row>
    <row r="60" spans="1:49" s="341" customFormat="1" x14ac:dyDescent="0.2">
      <c r="A60" s="341" t="s">
        <v>180</v>
      </c>
      <c r="B60" s="342">
        <v>2134</v>
      </c>
      <c r="C60" s="343">
        <v>2062.3851438493998</v>
      </c>
      <c r="D60" s="342" t="s">
        <v>210</v>
      </c>
      <c r="E60" s="342" t="s">
        <v>210</v>
      </c>
      <c r="F60" s="342"/>
      <c r="G60" s="342"/>
      <c r="H60" s="342"/>
      <c r="I60" s="342"/>
      <c r="J60" s="342"/>
      <c r="K60" s="344"/>
      <c r="L60" s="345">
        <f>'[3]s-Metolachlor'!F28</f>
        <v>2062.3851438493998</v>
      </c>
      <c r="M60" s="346"/>
      <c r="N60" s="346">
        <f>[8]Extraction!$Q$43</f>
        <v>5.165</v>
      </c>
      <c r="O60" s="347">
        <f>[8]Water_content!$V$43</f>
        <v>10.13187782503014</v>
      </c>
      <c r="Y60" s="346"/>
      <c r="Z60" s="348">
        <f t="shared" si="4"/>
        <v>1.8513244509122779</v>
      </c>
      <c r="AA60" s="348">
        <f t="shared" si="56"/>
        <v>0.2776986676368417</v>
      </c>
      <c r="AB60" s="341">
        <f t="shared" si="9"/>
        <v>7.5194858278481723E-6</v>
      </c>
      <c r="AC60" s="349">
        <f t="shared" si="5"/>
        <v>4.0641429794641217</v>
      </c>
      <c r="AD60" s="349">
        <f t="shared" si="10"/>
        <v>0</v>
      </c>
      <c r="AH60" s="341" t="e">
        <f t="shared" si="6"/>
        <v>#DIV/0!</v>
      </c>
      <c r="AI60" s="350" t="e">
        <f t="shared" si="12"/>
        <v>#DIV/0!</v>
      </c>
      <c r="AK60" s="341">
        <f t="shared" si="13"/>
        <v>2.5</v>
      </c>
      <c r="AL60" s="341">
        <f t="shared" si="14"/>
        <v>4</v>
      </c>
      <c r="AM60" s="341">
        <f t="shared" si="15"/>
        <v>0</v>
      </c>
      <c r="AN60" s="341">
        <f t="shared" si="16"/>
        <v>0</v>
      </c>
      <c r="AO60" s="341" t="b">
        <f t="shared" si="17"/>
        <v>0</v>
      </c>
      <c r="AP60" s="341" t="b">
        <f t="shared" si="18"/>
        <v>0</v>
      </c>
      <c r="AS60" s="351">
        <f t="shared" si="19"/>
        <v>7.7116550007277074E-2</v>
      </c>
      <c r="AV60" s="1" t="str">
        <f t="shared" si="20"/>
        <v>AW_T_14</v>
      </c>
      <c r="AW60" s="20">
        <f t="shared" si="21"/>
        <v>160.0089105491042</v>
      </c>
    </row>
    <row r="61" spans="1:49" s="341" customFormat="1" x14ac:dyDescent="0.25">
      <c r="A61" s="341" t="s">
        <v>181</v>
      </c>
      <c r="B61" s="342"/>
      <c r="C61" s="343">
        <v>1609.94107313369</v>
      </c>
      <c r="D61" s="342" t="s">
        <v>210</v>
      </c>
      <c r="E61" s="342" t="s">
        <v>210</v>
      </c>
      <c r="F61" s="342"/>
      <c r="G61" s="342"/>
      <c r="H61" s="342"/>
      <c r="I61" s="342"/>
      <c r="J61" s="342"/>
      <c r="K61" s="344"/>
      <c r="L61" s="345">
        <f>'[3]s-Metolachlor'!F29</f>
        <v>1609.94107313369</v>
      </c>
      <c r="M61" s="346"/>
      <c r="N61" s="346">
        <f>[8]Extraction!$Q$46</f>
        <v>5.0412999999999997</v>
      </c>
      <c r="O61" s="347">
        <f>[8]Water_content!$V$46</f>
        <v>13.062549419443494</v>
      </c>
      <c r="Y61" s="346"/>
      <c r="Z61" s="348">
        <f t="shared" si="4"/>
        <v>1.5305562521836207</v>
      </c>
      <c r="AA61" s="348">
        <f t="shared" si="56"/>
        <v>0.22958343782754309</v>
      </c>
      <c r="AB61" s="341">
        <f t="shared" si="9"/>
        <v>0</v>
      </c>
      <c r="AC61" s="349">
        <f t="shared" si="5"/>
        <v>0</v>
      </c>
      <c r="AD61" s="349">
        <f t="shared" si="10"/>
        <v>0</v>
      </c>
      <c r="AH61" s="341" t="e">
        <f t="shared" si="6"/>
        <v>#DIV/0!</v>
      </c>
      <c r="AI61" s="350" t="e">
        <f t="shared" si="12"/>
        <v>#DIV/0!</v>
      </c>
      <c r="AK61" s="341">
        <f t="shared" si="13"/>
        <v>2.5</v>
      </c>
      <c r="AL61" s="341">
        <f t="shared" si="14"/>
        <v>4</v>
      </c>
      <c r="AM61" s="341">
        <f t="shared" si="15"/>
        <v>0</v>
      </c>
      <c r="AN61" s="341">
        <f t="shared" si="16"/>
        <v>0</v>
      </c>
      <c r="AO61" s="341" t="b">
        <f t="shared" si="17"/>
        <v>0</v>
      </c>
      <c r="AP61" s="341" t="b">
        <f t="shared" si="18"/>
        <v>0</v>
      </c>
      <c r="AS61" s="351">
        <f>AA61^2</f>
        <v>5.2708554924713345E-2</v>
      </c>
      <c r="AT61" s="344" t="s">
        <v>526</v>
      </c>
      <c r="AV61" s="1" t="str">
        <f t="shared" si="20"/>
        <v>AW_T_15</v>
      </c>
      <c r="AW61" s="20">
        <f t="shared" si="21"/>
        <v>204.97644634760908</v>
      </c>
    </row>
    <row r="62" spans="1:49" s="33" customFormat="1" x14ac:dyDescent="0.25">
      <c r="A62" s="53"/>
      <c r="B62" s="53"/>
      <c r="C62" s="53"/>
      <c r="D62" s="61"/>
      <c r="L62" s="53"/>
      <c r="N62" s="36"/>
      <c r="O62" s="36"/>
      <c r="Q62" s="36"/>
      <c r="R62" s="34"/>
      <c r="AK62" s="1"/>
      <c r="AL62" s="1"/>
      <c r="AM62" s="1"/>
      <c r="AN62" s="1"/>
      <c r="AO62" s="1"/>
      <c r="AP62" s="1"/>
      <c r="AQ62" s="1"/>
      <c r="AR62" s="1"/>
      <c r="AS62" s="179">
        <f>SUM(AS17:AS61)</f>
        <v>3.2997924131524918</v>
      </c>
      <c r="AT62" s="53">
        <f>COUNT(AS17:AS61)</f>
        <v>45</v>
      </c>
      <c r="AW62" s="20"/>
    </row>
    <row r="63" spans="1:49" x14ac:dyDescent="0.25">
      <c r="D63" s="54"/>
      <c r="R63" s="30"/>
      <c r="Z63" s="1"/>
      <c r="AA63" s="20">
        <f>AVERAGE(AA17:AA61)</f>
        <v>0.19412826649261944</v>
      </c>
      <c r="AF63" s="1">
        <f>AVERAGEA(AF17:AF61)</f>
        <v>6.877957064355166</v>
      </c>
      <c r="AR63" s="1" t="s">
        <v>528</v>
      </c>
      <c r="AS63" s="178">
        <f>AS62/AT62</f>
        <v>7.3328720292277591E-2</v>
      </c>
      <c r="AV63" s="181"/>
    </row>
    <row r="64" spans="1:49" x14ac:dyDescent="0.25">
      <c r="R64" s="30"/>
      <c r="Z64" s="1"/>
      <c r="AF64" s="1" t="s">
        <v>454</v>
      </c>
      <c r="AR64" s="1" t="s">
        <v>527</v>
      </c>
      <c r="AS64" s="180">
        <f>AS63^0.5</f>
        <v>0.27079276262905844</v>
      </c>
    </row>
    <row r="65" spans="2:31" x14ac:dyDescent="0.25">
      <c r="Z65" s="30" t="s">
        <v>522</v>
      </c>
    </row>
    <row r="66" spans="2:31" x14ac:dyDescent="0.25">
      <c r="V66" s="1" t="s">
        <v>484</v>
      </c>
      <c r="W66" s="1" t="s">
        <v>519</v>
      </c>
      <c r="X66" s="51" t="s">
        <v>517</v>
      </c>
      <c r="Y66" s="51" t="s">
        <v>518</v>
      </c>
      <c r="Z66" s="30" t="s">
        <v>516</v>
      </c>
      <c r="AD66" s="1" t="s">
        <v>520</v>
      </c>
    </row>
    <row r="67" spans="2:31" x14ac:dyDescent="0.25">
      <c r="W67" s="1">
        <v>2650</v>
      </c>
      <c r="X67" s="51">
        <v>5</v>
      </c>
      <c r="Y67" s="51">
        <v>20</v>
      </c>
      <c r="Z67" s="153">
        <f>(W67*$B$3*$B$1)/($X67*(1-$Y67%))</f>
        <v>2.760416666666667</v>
      </c>
      <c r="AB67" s="1">
        <f>W67/$C$2/10^6</f>
        <v>9.3376932726324546E-6</v>
      </c>
      <c r="AC67" s="2">
        <f>AB67*$D$5*10^(-6)*$I$2*$D$2*10^9</f>
        <v>5.0468504665322982</v>
      </c>
      <c r="AD67" s="2">
        <f>AC67*2</f>
        <v>10.093700933064596</v>
      </c>
      <c r="AE67" t="s">
        <v>490</v>
      </c>
    </row>
    <row r="68" spans="2:31" x14ac:dyDescent="0.25">
      <c r="V68" s="1">
        <v>5.0999999999999996</v>
      </c>
      <c r="W68" s="1">
        <f>W67*V68</f>
        <v>13514.999999999998</v>
      </c>
      <c r="X68" s="51">
        <v>5</v>
      </c>
      <c r="Y68" s="51">
        <v>20</v>
      </c>
      <c r="Z68" s="153">
        <f t="shared" ref="Z68" si="57">(W68*$B$3*$B$1)/($X68*(1-$Y68%))</f>
        <v>14.078125</v>
      </c>
      <c r="AB68" s="1">
        <f t="shared" ref="AB68" si="58">W68/$C$2/10^6</f>
        <v>4.7622235690425515E-5</v>
      </c>
      <c r="AC68" s="2">
        <f>AB68*$D$5*10^(-6)*$J$2*$F$2*10^9</f>
        <v>5.0650533657979677</v>
      </c>
      <c r="AD68" s="2">
        <f t="shared" ref="AD68" si="59">AC68*2</f>
        <v>10.130106731595935</v>
      </c>
      <c r="AE68" t="s">
        <v>488</v>
      </c>
    </row>
    <row r="69" spans="2:31" x14ac:dyDescent="0.25">
      <c r="V69" s="1">
        <v>24.5</v>
      </c>
      <c r="W69" s="1">
        <f>W67*V69</f>
        <v>64925</v>
      </c>
      <c r="X69" s="51">
        <v>5</v>
      </c>
      <c r="Y69" s="51">
        <v>20</v>
      </c>
      <c r="Z69" s="153">
        <f>(W69*$B$3*$B$1)/($X69*(1-$Y69%))</f>
        <v>67.630208333333329</v>
      </c>
      <c r="AB69" s="1">
        <f>W69/$C$2/10^6</f>
        <v>2.2877348517949514E-4</v>
      </c>
      <c r="AC69" s="2">
        <f>AB69*$D$5*10^(-6)*$K$2*$G$2*10^9</f>
        <v>15.218936479020142</v>
      </c>
      <c r="AD69" s="2">
        <f>AC69*2</f>
        <v>30.437872958040284</v>
      </c>
      <c r="AE69" t="s">
        <v>508</v>
      </c>
    </row>
    <row r="70" spans="2:31" x14ac:dyDescent="0.25">
      <c r="V70" s="1">
        <v>38.5</v>
      </c>
      <c r="W70" s="1">
        <f>W67*V70</f>
        <v>102025</v>
      </c>
      <c r="X70" s="51">
        <v>5</v>
      </c>
      <c r="Y70" s="51">
        <v>20</v>
      </c>
      <c r="Z70" s="153">
        <f>(W70*$B$3*$B$1)/($X70*(1-$Y70%))</f>
        <v>106.27604166666669</v>
      </c>
      <c r="AB70" s="1">
        <f>W70/$C$2/10^6</f>
        <v>3.5950119099634951E-4</v>
      </c>
      <c r="AC70" s="2">
        <f>AB70*$D$5*10^(-6)*$J$2*$E$2*10^9</f>
        <v>15.106275995785705</v>
      </c>
      <c r="AD70" s="2">
        <f>AC70*2</f>
        <v>30.212551991571409</v>
      </c>
      <c r="AE70" t="s">
        <v>489</v>
      </c>
    </row>
    <row r="71" spans="2:31" x14ac:dyDescent="0.25">
      <c r="O71" t="s">
        <v>153</v>
      </c>
      <c r="P71" s="20">
        <f>AVERAGE(Z17:Z61)</f>
        <v>2.3474161639925546</v>
      </c>
      <c r="Q71" s="20"/>
    </row>
    <row r="72" spans="2:31" x14ac:dyDescent="0.25">
      <c r="O72" t="s">
        <v>154</v>
      </c>
      <c r="P72" s="20">
        <f>STDEVA(Z17:Z61)</f>
        <v>1.6908822959288357</v>
      </c>
      <c r="Q72" s="20"/>
    </row>
    <row r="73" spans="2:31" x14ac:dyDescent="0.25">
      <c r="O73" t="s">
        <v>155</v>
      </c>
      <c r="P73" s="20">
        <f>MIN(Z17:Z61)</f>
        <v>0.35651763774009076</v>
      </c>
      <c r="Q73" s="20"/>
      <c r="Z73" s="1" t="s">
        <v>482</v>
      </c>
      <c r="AA73" s="1" t="s">
        <v>524</v>
      </c>
    </row>
    <row r="74" spans="2:31" x14ac:dyDescent="0.25">
      <c r="O74" t="s">
        <v>156</v>
      </c>
      <c r="P74" s="20">
        <f>MAX(Z17:Z61)</f>
        <v>7.6236021127896771</v>
      </c>
      <c r="Q74" s="20"/>
      <c r="Y74" t="s">
        <v>488</v>
      </c>
      <c r="Z74" s="1">
        <f>Z68/$Z$67</f>
        <v>5.0999999999999996</v>
      </c>
      <c r="AA74" s="1">
        <f>Z74*X68</f>
        <v>25.5</v>
      </c>
    </row>
    <row r="75" spans="2:31" x14ac:dyDescent="0.25">
      <c r="Y75" t="s">
        <v>508</v>
      </c>
      <c r="Z75" s="1">
        <f t="shared" ref="Z75:Z76" si="60">Z69/$Z$67</f>
        <v>24.499999999999996</v>
      </c>
      <c r="AA75" s="1">
        <f t="shared" ref="AA75:AA76" si="61">Z75*X69</f>
        <v>122.49999999999999</v>
      </c>
    </row>
    <row r="76" spans="2:31" x14ac:dyDescent="0.25">
      <c r="Y76" t="s">
        <v>489</v>
      </c>
      <c r="Z76" s="1">
        <f t="shared" si="60"/>
        <v>38.5</v>
      </c>
      <c r="AA76" s="1">
        <f t="shared" si="61"/>
        <v>192.5</v>
      </c>
    </row>
    <row r="77" spans="2:31" x14ac:dyDescent="0.25">
      <c r="Z77" s="1"/>
    </row>
    <row r="78" spans="2:31" x14ac:dyDescent="0.25">
      <c r="B78" s="50" t="s">
        <v>297</v>
      </c>
      <c r="P78" s="178"/>
    </row>
    <row r="79" spans="2:31" x14ac:dyDescent="0.25">
      <c r="B79" s="1" t="s">
        <v>298</v>
      </c>
    </row>
    <row r="80" spans="2:31" x14ac:dyDescent="0.25">
      <c r="B80" s="1" t="s">
        <v>299</v>
      </c>
    </row>
    <row r="81" spans="27:27" x14ac:dyDescent="0.25">
      <c r="AA81" s="1">
        <f>863^0.5</f>
        <v>29.376861643136763</v>
      </c>
    </row>
  </sheetData>
  <sortState ref="L7:M41">
    <sortCondition ref="L7"/>
  </sortState>
  <conditionalFormatting sqref="O17:O61">
    <cfRule type="expression" dxfId="32" priority="61">
      <formula>$AC17="à refaire"</formula>
    </cfRule>
  </conditionalFormatting>
  <conditionalFormatting sqref="AC17:AC61 AC67:AD70">
    <cfRule type="cellIs" dxfId="31" priority="55" operator="lessThan">
      <formula>5</formula>
    </cfRule>
    <cfRule type="cellIs" dxfId="30" priority="56" operator="greaterThan">
      <formula>10</formula>
    </cfRule>
    <cfRule type="cellIs" dxfId="29" priority="57" operator="greaterThan">
      <formula>30</formula>
    </cfRule>
  </conditionalFormatting>
  <conditionalFormatting sqref="O14:O16">
    <cfRule type="expression" dxfId="28" priority="54">
      <formula>$AC14="à refaire"</formula>
    </cfRule>
  </conditionalFormatting>
  <conditionalFormatting sqref="AC17:AC61 AC67:AD70">
    <cfRule type="cellIs" dxfId="27" priority="32" operator="lessThan">
      <formula>5</formula>
    </cfRule>
    <cfRule type="cellIs" dxfId="26" priority="33" operator="between">
      <formula>5</formula>
      <formula>10</formula>
    </cfRule>
    <cfRule type="cellIs" dxfId="25" priority="34" operator="greaterThan">
      <formula>10</formula>
    </cfRule>
  </conditionalFormatting>
  <conditionalFormatting sqref="AD18:AD61">
    <cfRule type="cellIs" dxfId="24" priority="29" operator="lessThan">
      <formula>5</formula>
    </cfRule>
    <cfRule type="cellIs" dxfId="23" priority="30" operator="greaterThan">
      <formula>10</formula>
    </cfRule>
    <cfRule type="cellIs" dxfId="22" priority="31" operator="greaterThan">
      <formula>30</formula>
    </cfRule>
  </conditionalFormatting>
  <conditionalFormatting sqref="AD18:AD61">
    <cfRule type="cellIs" dxfId="21" priority="26" operator="lessThan">
      <formula>5</formula>
    </cfRule>
    <cfRule type="cellIs" dxfId="20" priority="27" operator="between">
      <formula>5</formula>
      <formula>10</formula>
    </cfRule>
    <cfRule type="cellIs" dxfId="19" priority="28" operator="greaterThan">
      <formula>10</formula>
    </cfRule>
  </conditionalFormatting>
  <conditionalFormatting sqref="AD17">
    <cfRule type="cellIs" dxfId="18" priority="23" operator="lessThan">
      <formula>5</formula>
    </cfRule>
    <cfRule type="cellIs" dxfId="17" priority="24" operator="greaterThan">
      <formula>10</formula>
    </cfRule>
    <cfRule type="cellIs" dxfId="16" priority="25" operator="greaterThan">
      <formula>30</formula>
    </cfRule>
  </conditionalFormatting>
  <conditionalFormatting sqref="AD17">
    <cfRule type="cellIs" dxfId="15" priority="20" operator="lessThan">
      <formula>5</formula>
    </cfRule>
    <cfRule type="cellIs" dxfId="14" priority="21" operator="between">
      <formula>5</formula>
      <formula>10</formula>
    </cfRule>
    <cfRule type="cellIs" dxfId="13" priority="22" operator="greaterThan">
      <formula>10</formula>
    </cfRule>
  </conditionalFormatting>
  <conditionalFormatting sqref="AH17:AH61">
    <cfRule type="cellIs" dxfId="12" priority="19" operator="lessThan">
      <formula>1</formula>
    </cfRule>
  </conditionalFormatting>
  <conditionalFormatting sqref="AI17:AI61">
    <cfRule type="cellIs" dxfId="11" priority="17" operator="equal">
      <formula>1</formula>
    </cfRule>
    <cfRule type="cellIs" dxfId="10" priority="18" operator="lessThan">
      <formula>5</formula>
    </cfRule>
  </conditionalFormatting>
  <conditionalFormatting sqref="AO17:AR61">
    <cfRule type="cellIs" dxfId="9" priority="3" operator="equal">
      <formula>TRUE</formula>
    </cfRule>
  </conditionalFormatting>
  <conditionalFormatting sqref="O11:O13">
    <cfRule type="expression" dxfId="8" priority="2">
      <formula>$AC11="à refaire"</formula>
    </cfRule>
  </conditionalFormatting>
  <conditionalFormatting sqref="AA17:AA61">
    <cfRule type="cellIs" dxfId="7" priority="1" operator="greaterThan">
      <formula>1</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R158"/>
  <sheetViews>
    <sheetView zoomScale="85" zoomScaleNormal="85" zoomScalePageLayoutView="85" workbookViewId="0">
      <selection activeCell="E90" sqref="E90"/>
    </sheetView>
  </sheetViews>
  <sheetFormatPr baseColWidth="10" defaultColWidth="10.85546875" defaultRowHeight="15" outlineLevelCol="2" x14ac:dyDescent="0.25"/>
  <cols>
    <col min="1" max="1" width="19" style="1" bestFit="1" customWidth="1"/>
    <col min="2" max="2" width="13" style="51" bestFit="1" customWidth="1"/>
    <col min="3" max="3" width="9.42578125" style="51" customWidth="1"/>
    <col min="4" max="4" width="7.42578125" style="51" customWidth="1"/>
    <col min="5" max="5" width="8.42578125" style="51" customWidth="1"/>
    <col min="6" max="6" width="14.140625" style="9" customWidth="1"/>
    <col min="7" max="7" width="10.85546875" style="9"/>
    <col min="8" max="8" width="10.85546875" style="1"/>
    <col min="9" max="9" width="18.140625" style="51" customWidth="1"/>
    <col min="10" max="10" width="18.140625" style="1" customWidth="1"/>
    <col min="11" max="11" width="17.42578125" style="58" customWidth="1"/>
    <col min="12" max="14" width="12.140625" style="9" customWidth="1"/>
    <col min="15" max="17" width="14" style="1" customWidth="1"/>
    <col min="19" max="19" width="12.140625" style="9" customWidth="1" collapsed="1"/>
    <col min="20" max="20" width="14.42578125" style="9" customWidth="1"/>
    <col min="21" max="21" width="13.85546875" style="1" customWidth="1"/>
    <col min="22" max="22" width="16.42578125" style="51" customWidth="1"/>
    <col min="23" max="24" width="19" style="1" customWidth="1" outlineLevel="2"/>
    <col min="25" max="27" width="10.85546875" style="1"/>
    <col min="28" max="28" width="12" style="1" bestFit="1" customWidth="1"/>
    <col min="29" max="29" width="9.42578125" style="1" bestFit="1" customWidth="1"/>
    <col min="30" max="30" width="12.85546875" style="1" customWidth="1"/>
    <col min="31" max="31" width="10.85546875" style="9"/>
    <col min="32" max="32" width="10.85546875" style="1"/>
    <col min="33" max="36" width="10.85546875" style="201"/>
    <col min="37" max="37" width="11.42578125" style="1" customWidth="1"/>
    <col min="38" max="38" width="10" style="1" customWidth="1"/>
    <col min="39" max="40" width="11.140625" style="1" customWidth="1"/>
    <col min="41" max="41" width="12.42578125" style="1" customWidth="1"/>
    <col min="42" max="16384" width="10.85546875" style="1"/>
  </cols>
  <sheetData>
    <row r="1" spans="1:44" s="190" customFormat="1" ht="27.95" x14ac:dyDescent="0.2">
      <c r="A1" s="192" t="s">
        <v>113</v>
      </c>
      <c r="B1" s="189">
        <f>1/0.24</f>
        <v>4.166666666666667</v>
      </c>
      <c r="C1" s="191" t="s">
        <v>477</v>
      </c>
      <c r="D1" s="191" t="s">
        <v>478</v>
      </c>
      <c r="E1" s="191" t="s">
        <v>436</v>
      </c>
      <c r="F1" s="191" t="s">
        <v>481</v>
      </c>
      <c r="G1" s="191" t="s">
        <v>507</v>
      </c>
      <c r="H1" s="191"/>
      <c r="I1" s="191" t="s">
        <v>149</v>
      </c>
      <c r="J1" s="191" t="s">
        <v>476</v>
      </c>
      <c r="K1" s="190" t="s">
        <v>523</v>
      </c>
      <c r="R1" s="100"/>
      <c r="AG1" s="200"/>
      <c r="AH1" s="200"/>
      <c r="AI1" s="200"/>
      <c r="AJ1" s="200"/>
    </row>
    <row r="2" spans="1:44" x14ac:dyDescent="0.25">
      <c r="A2" s="86" t="s">
        <v>114</v>
      </c>
      <c r="B2" s="71">
        <v>1000</v>
      </c>
      <c r="C2" s="46">
        <v>283.79599999999999</v>
      </c>
      <c r="D2" s="188">
        <v>12.0107</v>
      </c>
      <c r="E2" s="187">
        <v>14.0067</v>
      </c>
      <c r="F2" s="187">
        <v>35.453000000000003</v>
      </c>
      <c r="G2" s="187">
        <v>1.0079400000000001</v>
      </c>
      <c r="H2" s="186"/>
      <c r="I2" s="46">
        <v>15</v>
      </c>
      <c r="J2" s="186">
        <v>1</v>
      </c>
      <c r="K2" s="51">
        <v>22</v>
      </c>
    </row>
    <row r="3" spans="1:44" x14ac:dyDescent="0.2">
      <c r="A3" s="86" t="s">
        <v>116</v>
      </c>
      <c r="B3" s="71">
        <f>B2*(10^(-6))</f>
        <v>1E-3</v>
      </c>
      <c r="C3" s="186"/>
      <c r="D3" s="186"/>
      <c r="E3" s="186"/>
      <c r="F3" s="186"/>
      <c r="G3" s="186"/>
      <c r="H3" s="46"/>
      <c r="I3" s="46"/>
      <c r="J3" s="186"/>
      <c r="K3" s="15"/>
    </row>
    <row r="4" spans="1:44" x14ac:dyDescent="0.25">
      <c r="A4" s="16"/>
      <c r="B4" s="16"/>
      <c r="C4" s="1"/>
      <c r="D4" t="s">
        <v>521</v>
      </c>
      <c r="E4" s="1"/>
      <c r="F4" s="1" t="s">
        <v>550</v>
      </c>
      <c r="G4" s="1"/>
      <c r="H4" s="15"/>
      <c r="I4" s="15"/>
      <c r="K4" s="15"/>
    </row>
    <row r="5" spans="1:44" x14ac:dyDescent="0.2">
      <c r="A5" s="16"/>
      <c r="B5" s="16"/>
      <c r="C5" s="1"/>
      <c r="D5" s="51">
        <v>3</v>
      </c>
      <c r="F5">
        <v>4</v>
      </c>
      <c r="G5" s="1"/>
      <c r="H5" s="15"/>
      <c r="I5" s="15"/>
      <c r="J5" s="15"/>
      <c r="K5" s="15"/>
    </row>
    <row r="6" spans="1:44" s="14" customFormat="1" ht="45" x14ac:dyDescent="0.25">
      <c r="B6" s="41" t="s">
        <v>0</v>
      </c>
      <c r="C6" s="41"/>
      <c r="D6" s="41"/>
      <c r="E6" s="41"/>
      <c r="F6" s="41"/>
      <c r="G6" s="72" t="s">
        <v>1</v>
      </c>
      <c r="H6" s="72" t="s">
        <v>117</v>
      </c>
      <c r="I6" s="47" t="s">
        <v>158</v>
      </c>
      <c r="J6" s="13" t="s">
        <v>120</v>
      </c>
      <c r="K6" s="95" t="s">
        <v>318</v>
      </c>
      <c r="L6" s="13"/>
      <c r="M6" s="72" t="s">
        <v>1</v>
      </c>
      <c r="N6" s="72" t="s">
        <v>1</v>
      </c>
      <c r="O6" s="72" t="s">
        <v>1</v>
      </c>
      <c r="P6" s="13" t="s">
        <v>120</v>
      </c>
      <c r="Q6" s="13" t="s">
        <v>120</v>
      </c>
      <c r="R6" s="13" t="s">
        <v>120</v>
      </c>
      <c r="T6" s="72" t="s">
        <v>1</v>
      </c>
      <c r="U6" s="72" t="s">
        <v>121</v>
      </c>
      <c r="V6" s="13" t="s">
        <v>120</v>
      </c>
      <c r="W6" s="80"/>
      <c r="X6" s="41"/>
      <c r="Y6" s="41"/>
      <c r="AB6" s="145" t="s">
        <v>150</v>
      </c>
      <c r="AC6" s="145" t="s">
        <v>544</v>
      </c>
      <c r="AE6" s="141" t="s">
        <v>545</v>
      </c>
      <c r="AF6" s="141" t="s">
        <v>546</v>
      </c>
      <c r="AG6" s="202"/>
      <c r="AH6" s="202"/>
      <c r="AI6" s="202"/>
      <c r="AJ6" s="202"/>
      <c r="AO6" s="14" t="s">
        <v>552</v>
      </c>
      <c r="AP6" s="14" t="s">
        <v>551</v>
      </c>
      <c r="AQ6" s="14" t="s">
        <v>558</v>
      </c>
      <c r="AR6" s="14" t="s">
        <v>559</v>
      </c>
    </row>
    <row r="7" spans="1:44" s="91" customFormat="1" ht="45" x14ac:dyDescent="0.25">
      <c r="A7" s="104" t="s">
        <v>433</v>
      </c>
      <c r="B7" s="104" t="s">
        <v>0</v>
      </c>
      <c r="C7" s="104" t="s">
        <v>321</v>
      </c>
      <c r="D7" s="104" t="s">
        <v>322</v>
      </c>
      <c r="E7" s="104" t="s">
        <v>323</v>
      </c>
      <c r="F7" s="104" t="s">
        <v>324</v>
      </c>
      <c r="G7" s="73" t="s">
        <v>109</v>
      </c>
      <c r="H7" s="73" t="s">
        <v>325</v>
      </c>
      <c r="I7" s="105" t="s">
        <v>326</v>
      </c>
      <c r="J7" s="103" t="s">
        <v>327</v>
      </c>
      <c r="K7" s="73"/>
      <c r="L7" s="103"/>
      <c r="M7" s="73" t="s">
        <v>106</v>
      </c>
      <c r="N7" s="73" t="s">
        <v>107</v>
      </c>
      <c r="O7" s="73" t="s">
        <v>108</v>
      </c>
      <c r="P7" s="103" t="s">
        <v>129</v>
      </c>
      <c r="Q7" s="103" t="s">
        <v>130</v>
      </c>
      <c r="R7" s="103" t="s">
        <v>131</v>
      </c>
      <c r="T7" s="73" t="s">
        <v>2</v>
      </c>
      <c r="U7" s="73" t="s">
        <v>122</v>
      </c>
      <c r="V7" s="103" t="s">
        <v>128</v>
      </c>
      <c r="W7" s="37" t="s">
        <v>317</v>
      </c>
      <c r="X7" s="104"/>
      <c r="Y7" s="104" t="s">
        <v>182</v>
      </c>
      <c r="AB7" s="141" t="s">
        <v>151</v>
      </c>
      <c r="AC7" s="141"/>
      <c r="AE7" s="141"/>
      <c r="AF7" s="141"/>
      <c r="AG7" s="203" t="s">
        <v>535</v>
      </c>
      <c r="AH7" s="203" t="s">
        <v>538</v>
      </c>
      <c r="AI7" s="203" t="s">
        <v>554</v>
      </c>
      <c r="AJ7" s="203" t="s">
        <v>556</v>
      </c>
      <c r="AK7" s="142" t="s">
        <v>536</v>
      </c>
      <c r="AL7" s="142" t="s">
        <v>537</v>
      </c>
      <c r="AM7" s="142" t="s">
        <v>553</v>
      </c>
      <c r="AN7" s="142" t="s">
        <v>557</v>
      </c>
      <c r="AO7" s="142" t="s">
        <v>539</v>
      </c>
      <c r="AP7" s="142" t="s">
        <v>540</v>
      </c>
      <c r="AQ7" s="142" t="s">
        <v>560</v>
      </c>
      <c r="AR7" s="142" t="s">
        <v>561</v>
      </c>
    </row>
    <row r="8" spans="1:44" s="64" customFormat="1" hidden="1" x14ac:dyDescent="0.2">
      <c r="A8" s="133">
        <v>42458</v>
      </c>
      <c r="B8" s="64" t="s">
        <v>232</v>
      </c>
      <c r="C8" s="87" t="s">
        <v>199</v>
      </c>
      <c r="D8" s="87" t="s">
        <v>275</v>
      </c>
      <c r="E8" s="87">
        <v>1</v>
      </c>
      <c r="F8" s="87" t="s">
        <v>276</v>
      </c>
      <c r="G8" s="67">
        <v>68.117610755257402</v>
      </c>
      <c r="H8" s="68">
        <v>5.0145</v>
      </c>
      <c r="I8" s="55">
        <v>20.515259273387056</v>
      </c>
      <c r="J8" s="64">
        <f t="shared" ref="J8:J20" si="0">G8*$B$3*$B$1/($H8*(1-$I8%))</f>
        <v>7.1209308306388788E-2</v>
      </c>
      <c r="K8" s="87"/>
      <c r="M8" s="67"/>
      <c r="N8" s="65"/>
      <c r="O8" s="66"/>
      <c r="P8" s="64">
        <v>0</v>
      </c>
      <c r="Q8" s="64">
        <v>0</v>
      </c>
      <c r="R8" s="64">
        <v>0</v>
      </c>
      <c r="T8" s="75" t="s">
        <v>210</v>
      </c>
      <c r="U8" s="67" t="e">
        <f t="shared" ref="U8:U15" si="1">(T8-G8)/T8*100</f>
        <v>#VALUE!</v>
      </c>
      <c r="V8" s="64" t="e">
        <f t="shared" ref="V8:V15" si="2">T8*$B$3*$B$1/($H8*(1-$I8%))</f>
        <v>#VALUE!</v>
      </c>
      <c r="W8" s="81"/>
      <c r="X8" s="64" t="s">
        <v>64</v>
      </c>
      <c r="Y8" s="63" t="s">
        <v>188</v>
      </c>
      <c r="AB8" s="64">
        <f>G8/$C$2/10^6</f>
        <v>2.4002315309326913E-7</v>
      </c>
      <c r="AC8" s="69">
        <f>AB8*$D$5*10^(-6)*$I$2*$D$2*10^9</f>
        <v>0.12972807381857973</v>
      </c>
      <c r="AE8" s="67">
        <f>IF(AC8&lt;3, 1)</f>
        <v>1</v>
      </c>
      <c r="AF8" s="67">
        <f>IF(AC8&lt;10, 1)</f>
        <v>1</v>
      </c>
      <c r="AG8" s="205">
        <f>300/100</f>
        <v>3</v>
      </c>
      <c r="AH8" s="205">
        <f>400/70</f>
        <v>5.7142857142857144</v>
      </c>
      <c r="AI8" s="205">
        <f>400/50</f>
        <v>8</v>
      </c>
      <c r="AJ8" s="205">
        <f>500/30</f>
        <v>16.666666666666668</v>
      </c>
      <c r="AK8" s="79">
        <f>$AC8*AG8*$F$5/$D$5</f>
        <v>0.51891229527431892</v>
      </c>
      <c r="AL8" s="79">
        <f>$AC8*AH8*$F$5/$D$5</f>
        <v>0.98840437195108366</v>
      </c>
      <c r="AM8" s="79">
        <f>$AC8*AI8*$F$5/$D$5</f>
        <v>1.3837661207315171</v>
      </c>
      <c r="AN8" s="79">
        <f>$AC8*AJ8*$F$5/$D$5</f>
        <v>2.8828460848573276</v>
      </c>
      <c r="AO8" s="1" t="b">
        <f t="shared" ref="AO8:AO39" si="3">AND(AC8&lt;10,AK8&gt;10)</f>
        <v>0</v>
      </c>
      <c r="AP8" s="1" t="b">
        <f t="shared" ref="AP8:AP39" si="4">AND(AC8&lt;10,AL8&gt;10,AO8=FALSE)</f>
        <v>0</v>
      </c>
      <c r="AQ8" s="1" t="b">
        <f>AND(AC8&lt;10,AM8&gt;10, AO8=FALSE, AP8=FALSE)</f>
        <v>0</v>
      </c>
      <c r="AR8" s="1" t="b">
        <f>AND(AC8&lt;10,AN8&gt;10, AO8=FALSE, AP8=FALSE, AQ8=FALSE)</f>
        <v>0</v>
      </c>
    </row>
    <row r="9" spans="1:44" s="64" customFormat="1" hidden="1" x14ac:dyDescent="0.2">
      <c r="A9" s="133">
        <v>42458</v>
      </c>
      <c r="B9" s="64" t="s">
        <v>231</v>
      </c>
      <c r="C9" s="87" t="s">
        <v>199</v>
      </c>
      <c r="D9" s="87" t="s">
        <v>275</v>
      </c>
      <c r="E9" s="87">
        <v>2</v>
      </c>
      <c r="F9" s="87" t="s">
        <v>276</v>
      </c>
      <c r="G9" s="67">
        <v>4649.2923699353796</v>
      </c>
      <c r="H9" s="68">
        <v>5.0125000000000002</v>
      </c>
      <c r="I9" s="55">
        <v>17.946371737746645</v>
      </c>
      <c r="J9" s="64">
        <f t="shared" si="0"/>
        <v>4.7100274771937105</v>
      </c>
      <c r="K9" s="87"/>
      <c r="M9" s="67"/>
      <c r="N9" s="65"/>
      <c r="O9" s="66"/>
      <c r="P9" s="64">
        <v>0</v>
      </c>
      <c r="Q9" s="64">
        <v>0</v>
      </c>
      <c r="R9" s="64">
        <v>0</v>
      </c>
      <c r="T9" s="67">
        <v>21731.856021411681</v>
      </c>
      <c r="U9" s="67">
        <f t="shared" si="1"/>
        <v>78.606096205705654</v>
      </c>
      <c r="V9" s="64">
        <f t="shared" si="2"/>
        <v>22.015745805353443</v>
      </c>
      <c r="W9" s="81"/>
      <c r="X9" s="64" t="s">
        <v>63</v>
      </c>
      <c r="Y9" s="63" t="s">
        <v>187</v>
      </c>
      <c r="AB9" s="64">
        <f t="shared" ref="AB9:AB72" si="5">G9/$C$2/10^6</f>
        <v>1.638251550386679E-5</v>
      </c>
      <c r="AC9" s="69">
        <f t="shared" ref="AC9:AC72" si="6">AB9*$D$5*10^(-6)*$I$2*$D$2*10^9</f>
        <v>8.8544465533031769</v>
      </c>
      <c r="AE9" s="67" t="b">
        <f t="shared" ref="AE9:AE72" si="7">IF(AC9&lt;3, 1)</f>
        <v>0</v>
      </c>
      <c r="AF9" s="67">
        <f t="shared" ref="AF9:AF72" si="8">IF(AC9&lt;10, 1)</f>
        <v>1</v>
      </c>
      <c r="AG9" s="205">
        <f>300/100</f>
        <v>3</v>
      </c>
      <c r="AH9" s="205">
        <f>400/70</f>
        <v>5.7142857142857144</v>
      </c>
      <c r="AI9" s="205">
        <f t="shared" ref="AI9:AI72" si="9">400/50</f>
        <v>8</v>
      </c>
      <c r="AJ9" s="205">
        <f t="shared" ref="AJ9:AJ72" si="10">500/30</f>
        <v>16.666666666666668</v>
      </c>
      <c r="AK9" s="79">
        <f>$AC9*AG9*$F$5/$D$5</f>
        <v>35.417786213212707</v>
      </c>
      <c r="AL9" s="79">
        <f>$AC9*AH9*$F$5/$D$5</f>
        <v>67.462449929928965</v>
      </c>
      <c r="AM9" s="79">
        <f t="shared" ref="AM9:AM72" si="11">$AC9*AI9*$F$5/$D$5</f>
        <v>94.447429901900549</v>
      </c>
      <c r="AN9" s="79">
        <f t="shared" ref="AN9:AN72" si="12">$AC9*AJ9*$F$5/$D$5</f>
        <v>196.76547896229283</v>
      </c>
      <c r="AO9" s="1" t="b">
        <f t="shared" si="3"/>
        <v>1</v>
      </c>
      <c r="AP9" s="1" t="b">
        <f t="shared" si="4"/>
        <v>0</v>
      </c>
      <c r="AQ9" s="1" t="b">
        <f t="shared" ref="AQ9:AQ72" si="13">AND(AC9&lt;10,AM9&gt;10, AO9=FALSE, AP9=FALSE)</f>
        <v>0</v>
      </c>
      <c r="AR9" s="1" t="b">
        <f t="shared" ref="AR9:AR72" si="14">AND(AC9&lt;10,AN9&gt;10, AO9=FALSE, AP9=FALSE, AQ9=FALSE)</f>
        <v>0</v>
      </c>
    </row>
    <row r="10" spans="1:44" s="11" customFormat="1" hidden="1" x14ac:dyDescent="0.2">
      <c r="A10" s="133">
        <v>42458</v>
      </c>
      <c r="B10" s="11" t="s">
        <v>230</v>
      </c>
      <c r="C10" s="88" t="s">
        <v>199</v>
      </c>
      <c r="D10" s="88" t="s">
        <v>275</v>
      </c>
      <c r="E10" s="88">
        <v>3</v>
      </c>
      <c r="F10" s="88" t="s">
        <v>276</v>
      </c>
      <c r="G10" s="10">
        <v>1448.6243459440932</v>
      </c>
      <c r="H10" s="12">
        <v>5.0269000000000004</v>
      </c>
      <c r="I10" s="328">
        <v>19.53748406986519</v>
      </c>
      <c r="J10" s="11">
        <f t="shared" si="0"/>
        <v>1.4922812561593075</v>
      </c>
      <c r="K10" s="88">
        <f>STDEVA(P10:R10)</f>
        <v>5.9695632071902795E-3</v>
      </c>
      <c r="M10" s="78">
        <v>1442.9526290635399</v>
      </c>
      <c r="N10" s="78">
        <v>1454.53507842513</v>
      </c>
      <c r="O10" s="78">
        <v>1448.3853303436099</v>
      </c>
      <c r="P10" s="11">
        <v>1.486438611850043</v>
      </c>
      <c r="Q10" s="11">
        <v>1.4983701192357282</v>
      </c>
      <c r="R10" s="11">
        <v>1.4920350373921509</v>
      </c>
      <c r="T10" s="10">
        <v>3172.5802418219882</v>
      </c>
      <c r="U10" s="10">
        <f t="shared" si="1"/>
        <v>54.339236976645878</v>
      </c>
      <c r="V10" s="11">
        <f t="shared" si="2"/>
        <v>3.2681916756319858</v>
      </c>
      <c r="W10" s="82"/>
      <c r="X10" s="11" t="s">
        <v>81</v>
      </c>
      <c r="Y10" s="77" t="s">
        <v>186</v>
      </c>
      <c r="AB10" s="64">
        <f t="shared" si="5"/>
        <v>5.1044565319599051E-6</v>
      </c>
      <c r="AC10" s="69">
        <f t="shared" si="6"/>
        <v>2.7588643230784879</v>
      </c>
      <c r="AE10" s="67">
        <f t="shared" si="7"/>
        <v>1</v>
      </c>
      <c r="AF10" s="67">
        <f t="shared" si="8"/>
        <v>1</v>
      </c>
      <c r="AG10" s="205">
        <f t="shared" ref="AG10:AG73" si="15">300/100</f>
        <v>3</v>
      </c>
      <c r="AH10" s="205">
        <f t="shared" ref="AH10:AH73" si="16">400/70</f>
        <v>5.7142857142857144</v>
      </c>
      <c r="AI10" s="205">
        <f t="shared" si="9"/>
        <v>8</v>
      </c>
      <c r="AJ10" s="205">
        <f t="shared" si="10"/>
        <v>16.666666666666668</v>
      </c>
      <c r="AK10" s="79">
        <f t="shared" ref="AK10:AK73" si="17">$AC10*AG10*$F$5/$D$5</f>
        <v>11.035457292313952</v>
      </c>
      <c r="AL10" s="79">
        <f t="shared" ref="AL10:AL73" si="18">$AC10*AH10*$F$5/$D$5</f>
        <v>21.019918652026576</v>
      </c>
      <c r="AM10" s="79">
        <f t="shared" si="11"/>
        <v>29.427886112837204</v>
      </c>
      <c r="AN10" s="79">
        <f t="shared" si="12"/>
        <v>61.308096068410855</v>
      </c>
      <c r="AO10" s="1" t="b">
        <f t="shared" si="3"/>
        <v>1</v>
      </c>
      <c r="AP10" s="1" t="b">
        <f t="shared" si="4"/>
        <v>0</v>
      </c>
      <c r="AQ10" s="1" t="b">
        <f t="shared" si="13"/>
        <v>0</v>
      </c>
      <c r="AR10" s="1" t="b">
        <f t="shared" si="14"/>
        <v>0</v>
      </c>
    </row>
    <row r="11" spans="1:44" hidden="1" x14ac:dyDescent="0.2">
      <c r="A11" s="133">
        <v>42458</v>
      </c>
      <c r="B11" s="1" t="s">
        <v>233</v>
      </c>
      <c r="C11" s="51" t="s">
        <v>199</v>
      </c>
      <c r="D11" s="51" t="s">
        <v>275</v>
      </c>
      <c r="E11" s="51">
        <v>4</v>
      </c>
      <c r="F11" s="51" t="s">
        <v>276</v>
      </c>
      <c r="G11" s="10">
        <v>755.49249870786241</v>
      </c>
      <c r="H11" s="12">
        <v>5.0007999999999999</v>
      </c>
      <c r="I11" s="54">
        <v>19.937250648797324</v>
      </c>
      <c r="J11" s="1">
        <f t="shared" si="0"/>
        <v>0.78622876573564759</v>
      </c>
      <c r="K11" s="88">
        <f t="shared" ref="K11:K60" si="19">STDEVA(P11:R11)</f>
        <v>7.0963087304667161E-2</v>
      </c>
      <c r="L11" s="1"/>
      <c r="M11" s="74">
        <v>818.61370993147796</v>
      </c>
      <c r="N11" s="74">
        <v>683.17024996759699</v>
      </c>
      <c r="O11" s="74">
        <v>764.69353622451194</v>
      </c>
      <c r="P11" s="1">
        <v>0.85191798445980682</v>
      </c>
      <c r="Q11" s="1">
        <v>0.71096417679593271</v>
      </c>
      <c r="R11" s="1">
        <v>0.79580413595120292</v>
      </c>
      <c r="S11"/>
      <c r="T11" s="9">
        <v>9280.2871196342294</v>
      </c>
      <c r="U11" s="9">
        <f t="shared" si="1"/>
        <v>91.859168913971715</v>
      </c>
      <c r="V11" s="1">
        <f t="shared" si="2"/>
        <v>9.6578439894793284</v>
      </c>
      <c r="W11" s="58"/>
      <c r="X11" s="1" t="s">
        <v>82</v>
      </c>
      <c r="Y11" s="46" t="s">
        <v>189</v>
      </c>
      <c r="AB11" s="64">
        <f t="shared" si="5"/>
        <v>2.6620970651730905E-6</v>
      </c>
      <c r="AC11" s="69">
        <f t="shared" si="6"/>
        <v>1.4388142149303496</v>
      </c>
      <c r="AE11" s="67">
        <f t="shared" si="7"/>
        <v>1</v>
      </c>
      <c r="AF11" s="67">
        <f t="shared" si="8"/>
        <v>1</v>
      </c>
      <c r="AG11" s="205">
        <f t="shared" si="15"/>
        <v>3</v>
      </c>
      <c r="AH11" s="205">
        <f t="shared" si="16"/>
        <v>5.7142857142857144</v>
      </c>
      <c r="AI11" s="205">
        <f t="shared" si="9"/>
        <v>8</v>
      </c>
      <c r="AJ11" s="205">
        <f t="shared" si="10"/>
        <v>16.666666666666668</v>
      </c>
      <c r="AK11" s="79">
        <f t="shared" si="17"/>
        <v>5.7552568597213982</v>
      </c>
      <c r="AL11" s="79">
        <f t="shared" si="18"/>
        <v>10.962394018516948</v>
      </c>
      <c r="AM11" s="79">
        <f t="shared" si="11"/>
        <v>15.347351625923729</v>
      </c>
      <c r="AN11" s="79">
        <f t="shared" si="12"/>
        <v>31.973649220674435</v>
      </c>
      <c r="AO11" s="1" t="b">
        <f t="shared" si="3"/>
        <v>0</v>
      </c>
      <c r="AP11" s="1" t="b">
        <f t="shared" si="4"/>
        <v>1</v>
      </c>
      <c r="AQ11" s="1" t="b">
        <f t="shared" si="13"/>
        <v>0</v>
      </c>
      <c r="AR11" s="1" t="b">
        <f t="shared" si="14"/>
        <v>0</v>
      </c>
    </row>
    <row r="12" spans="1:44" hidden="1" x14ac:dyDescent="0.2">
      <c r="A12" s="133">
        <v>42458</v>
      </c>
      <c r="B12" s="1" t="s">
        <v>228</v>
      </c>
      <c r="C12" s="51" t="s">
        <v>199</v>
      </c>
      <c r="D12" s="51" t="s">
        <v>275</v>
      </c>
      <c r="E12" s="51">
        <v>5</v>
      </c>
      <c r="F12" s="51" t="s">
        <v>276</v>
      </c>
      <c r="G12" s="10">
        <v>152.27734861743599</v>
      </c>
      <c r="H12" s="12">
        <v>5.07</v>
      </c>
      <c r="I12" s="54">
        <v>21.100278685097372</v>
      </c>
      <c r="J12" s="1">
        <f t="shared" si="0"/>
        <v>0.15861367813309599</v>
      </c>
      <c r="K12" s="88"/>
      <c r="L12" s="1"/>
      <c r="N12" s="7"/>
      <c r="O12" s="8"/>
      <c r="P12" s="1">
        <v>0</v>
      </c>
      <c r="Q12" s="1">
        <v>0</v>
      </c>
      <c r="R12" s="1">
        <v>0</v>
      </c>
      <c r="S12"/>
      <c r="T12" s="9">
        <v>549.8738749897235</v>
      </c>
      <c r="U12" s="9">
        <f t="shared" si="1"/>
        <v>72.306858800978333</v>
      </c>
      <c r="V12" s="1">
        <f t="shared" si="2"/>
        <v>0.57275437623052838</v>
      </c>
      <c r="W12" s="58"/>
      <c r="X12" s="1" t="s">
        <v>61</v>
      </c>
      <c r="Y12" s="46" t="s">
        <v>185</v>
      </c>
      <c r="AB12" s="64">
        <f t="shared" si="5"/>
        <v>5.3657327311673174E-7</v>
      </c>
      <c r="AC12" s="69">
        <f t="shared" si="6"/>
        <v>0.29000792751404081</v>
      </c>
      <c r="AE12" s="67">
        <f t="shared" si="7"/>
        <v>1</v>
      </c>
      <c r="AF12" s="67">
        <f t="shared" si="8"/>
        <v>1</v>
      </c>
      <c r="AG12" s="205">
        <f t="shared" si="15"/>
        <v>3</v>
      </c>
      <c r="AH12" s="205">
        <f t="shared" si="16"/>
        <v>5.7142857142857144</v>
      </c>
      <c r="AI12" s="205">
        <f t="shared" si="9"/>
        <v>8</v>
      </c>
      <c r="AJ12" s="205">
        <f t="shared" si="10"/>
        <v>16.666666666666668</v>
      </c>
      <c r="AK12" s="79">
        <f t="shared" si="17"/>
        <v>1.1600317100561632</v>
      </c>
      <c r="AL12" s="79">
        <f t="shared" si="18"/>
        <v>2.2095842096307874</v>
      </c>
      <c r="AM12" s="79">
        <f t="shared" si="11"/>
        <v>3.0934178934831018</v>
      </c>
      <c r="AN12" s="79">
        <f t="shared" si="12"/>
        <v>6.4446206114231295</v>
      </c>
      <c r="AO12" s="1" t="b">
        <f t="shared" si="3"/>
        <v>0</v>
      </c>
      <c r="AP12" s="1" t="b">
        <f t="shared" si="4"/>
        <v>0</v>
      </c>
      <c r="AQ12" s="1" t="b">
        <f t="shared" si="13"/>
        <v>0</v>
      </c>
      <c r="AR12" s="1" t="b">
        <f t="shared" si="14"/>
        <v>0</v>
      </c>
    </row>
    <row r="13" spans="1:44" hidden="1" x14ac:dyDescent="0.2">
      <c r="A13" s="133">
        <v>42458</v>
      </c>
      <c r="B13" s="1" t="s">
        <v>226</v>
      </c>
      <c r="C13" s="51" t="s">
        <v>199</v>
      </c>
      <c r="D13" s="51" t="s">
        <v>275</v>
      </c>
      <c r="E13" s="51">
        <v>7</v>
      </c>
      <c r="F13" s="51" t="s">
        <v>276</v>
      </c>
      <c r="G13" s="10">
        <v>23.990855556458701</v>
      </c>
      <c r="H13" s="12">
        <v>5.0362</v>
      </c>
      <c r="I13" s="54">
        <v>20.975366853756398</v>
      </c>
      <c r="J13" s="1">
        <f t="shared" si="0"/>
        <v>2.5117073539644878E-2</v>
      </c>
      <c r="K13" s="88"/>
      <c r="L13" s="1"/>
      <c r="N13" s="7"/>
      <c r="O13" s="8"/>
      <c r="P13" s="1">
        <v>0</v>
      </c>
      <c r="Q13" s="1">
        <v>0</v>
      </c>
      <c r="R13" s="1">
        <v>0</v>
      </c>
      <c r="S13"/>
      <c r="T13" s="9">
        <v>249.68878360634756</v>
      </c>
      <c r="U13" s="9">
        <f t="shared" si="1"/>
        <v>90.391696731447084</v>
      </c>
      <c r="V13" s="1">
        <f t="shared" si="2"/>
        <v>0.26141008290038825</v>
      </c>
      <c r="W13" s="58"/>
      <c r="X13" s="1" t="s">
        <v>59</v>
      </c>
      <c r="Y13" s="46" t="s">
        <v>184</v>
      </c>
      <c r="AB13" s="64">
        <f t="shared" si="5"/>
        <v>8.4535566239336356E-8</v>
      </c>
      <c r="AC13" s="69">
        <f t="shared" si="6"/>
        <v>4.5689909644385872E-2</v>
      </c>
      <c r="AE13" s="67">
        <f t="shared" si="7"/>
        <v>1</v>
      </c>
      <c r="AF13" s="67">
        <f t="shared" si="8"/>
        <v>1</v>
      </c>
      <c r="AG13" s="205">
        <f t="shared" si="15"/>
        <v>3</v>
      </c>
      <c r="AH13" s="205">
        <f t="shared" si="16"/>
        <v>5.7142857142857144</v>
      </c>
      <c r="AI13" s="205">
        <f t="shared" si="9"/>
        <v>8</v>
      </c>
      <c r="AJ13" s="205">
        <f t="shared" si="10"/>
        <v>16.666666666666668</v>
      </c>
      <c r="AK13" s="79">
        <f t="shared" si="17"/>
        <v>0.18275963857754349</v>
      </c>
      <c r="AL13" s="79">
        <f t="shared" si="18"/>
        <v>0.34811359729055907</v>
      </c>
      <c r="AM13" s="79">
        <f t="shared" si="11"/>
        <v>0.48735903620678261</v>
      </c>
      <c r="AN13" s="79">
        <f t="shared" si="12"/>
        <v>1.0153313254307972</v>
      </c>
      <c r="AO13" s="1" t="b">
        <f t="shared" si="3"/>
        <v>0</v>
      </c>
      <c r="AP13" s="1" t="b">
        <f t="shared" si="4"/>
        <v>0</v>
      </c>
      <c r="AQ13" s="1" t="b">
        <f t="shared" si="13"/>
        <v>0</v>
      </c>
      <c r="AR13" s="1" t="b">
        <f t="shared" si="14"/>
        <v>0</v>
      </c>
    </row>
    <row r="14" spans="1:44" hidden="1" x14ac:dyDescent="0.2">
      <c r="A14" s="133">
        <v>42458</v>
      </c>
      <c r="B14" s="1" t="s">
        <v>224</v>
      </c>
      <c r="C14" s="51" t="s">
        <v>199</v>
      </c>
      <c r="D14" s="51" t="s">
        <v>275</v>
      </c>
      <c r="E14" s="51">
        <v>8</v>
      </c>
      <c r="F14" s="51" t="s">
        <v>276</v>
      </c>
      <c r="G14" s="10">
        <v>18.859215417529398</v>
      </c>
      <c r="H14" s="12">
        <v>5.0133999999999999</v>
      </c>
      <c r="I14" s="54">
        <v>19.338514054987041</v>
      </c>
      <c r="J14" s="1">
        <f t="shared" si="0"/>
        <v>1.9431834569943376E-2</v>
      </c>
      <c r="K14" s="88"/>
      <c r="L14" s="1"/>
      <c r="N14" s="7"/>
      <c r="O14" s="8"/>
      <c r="P14" s="1">
        <v>0</v>
      </c>
      <c r="Q14" s="1">
        <v>0</v>
      </c>
      <c r="R14" s="1">
        <v>0</v>
      </c>
      <c r="S14"/>
      <c r="T14" s="9">
        <v>356.37746901010883</v>
      </c>
      <c r="U14" s="9">
        <f t="shared" si="1"/>
        <v>94.708078636420623</v>
      </c>
      <c r="V14" s="1">
        <f t="shared" si="2"/>
        <v>0.3671980975318197</v>
      </c>
      <c r="W14" s="58"/>
      <c r="X14" s="1" t="s">
        <v>57</v>
      </c>
      <c r="Y14" s="46" t="s">
        <v>183</v>
      </c>
      <c r="AB14" s="64">
        <f t="shared" si="5"/>
        <v>6.6453422238260576E-8</v>
      </c>
      <c r="AC14" s="69">
        <f t="shared" si="6"/>
        <v>3.5916845331468432E-2</v>
      </c>
      <c r="AE14" s="67">
        <f t="shared" si="7"/>
        <v>1</v>
      </c>
      <c r="AF14" s="67">
        <f t="shared" si="8"/>
        <v>1</v>
      </c>
      <c r="AG14" s="205">
        <f t="shared" si="15"/>
        <v>3</v>
      </c>
      <c r="AH14" s="205">
        <f t="shared" si="16"/>
        <v>5.7142857142857144</v>
      </c>
      <c r="AI14" s="205">
        <f t="shared" si="9"/>
        <v>8</v>
      </c>
      <c r="AJ14" s="205">
        <f t="shared" si="10"/>
        <v>16.666666666666668</v>
      </c>
      <c r="AK14" s="79">
        <f t="shared" si="17"/>
        <v>0.14366738132587373</v>
      </c>
      <c r="AL14" s="79">
        <f t="shared" si="18"/>
        <v>0.27365215490642614</v>
      </c>
      <c r="AM14" s="79">
        <f t="shared" si="11"/>
        <v>0.38311301686899663</v>
      </c>
      <c r="AN14" s="79">
        <f t="shared" si="12"/>
        <v>0.79815211847707623</v>
      </c>
      <c r="AO14" s="1" t="b">
        <f t="shared" si="3"/>
        <v>0</v>
      </c>
      <c r="AP14" s="1" t="b">
        <f t="shared" si="4"/>
        <v>0</v>
      </c>
      <c r="AQ14" s="1" t="b">
        <f t="shared" si="13"/>
        <v>0</v>
      </c>
      <c r="AR14" s="1" t="b">
        <f t="shared" si="14"/>
        <v>0</v>
      </c>
    </row>
    <row r="15" spans="1:44" s="115" customFormat="1" hidden="1" x14ac:dyDescent="0.2">
      <c r="A15" s="134">
        <v>42507</v>
      </c>
      <c r="B15" s="113" t="s">
        <v>83</v>
      </c>
      <c r="C15" s="114" t="s">
        <v>199</v>
      </c>
      <c r="D15" s="114" t="s">
        <v>278</v>
      </c>
      <c r="E15" s="114">
        <v>3</v>
      </c>
      <c r="F15" s="114" t="s">
        <v>276</v>
      </c>
      <c r="G15" s="94">
        <v>70.13346489951283</v>
      </c>
      <c r="H15" s="39">
        <v>4.9953000000000003</v>
      </c>
      <c r="I15" s="329">
        <v>18.648428965638612</v>
      </c>
      <c r="J15" s="115">
        <f t="shared" si="0"/>
        <v>7.190954386025683E-2</v>
      </c>
      <c r="K15" s="88"/>
      <c r="L15" s="82" t="s">
        <v>386</v>
      </c>
      <c r="M15" s="39"/>
      <c r="N15" s="116"/>
      <c r="O15" s="117"/>
      <c r="P15" s="115">
        <v>0</v>
      </c>
      <c r="Q15" s="115">
        <v>0</v>
      </c>
      <c r="R15" s="115">
        <v>0</v>
      </c>
      <c r="T15" s="94">
        <v>70.13346489951283</v>
      </c>
      <c r="U15" s="39">
        <f t="shared" si="1"/>
        <v>0</v>
      </c>
      <c r="V15" s="115">
        <f t="shared" si="2"/>
        <v>7.190954386025683E-2</v>
      </c>
      <c r="W15" s="82" t="s">
        <v>320</v>
      </c>
      <c r="X15" s="113"/>
      <c r="Y15" s="118"/>
      <c r="AB15" s="64">
        <f t="shared" si="5"/>
        <v>2.4712633335040959E-7</v>
      </c>
      <c r="AC15" s="69">
        <f t="shared" si="6"/>
        <v>0.1335672113387294</v>
      </c>
      <c r="AE15" s="67">
        <f t="shared" si="7"/>
        <v>1</v>
      </c>
      <c r="AF15" s="67">
        <f t="shared" si="8"/>
        <v>1</v>
      </c>
      <c r="AG15" s="205">
        <f t="shared" si="15"/>
        <v>3</v>
      </c>
      <c r="AH15" s="205">
        <f t="shared" si="16"/>
        <v>5.7142857142857144</v>
      </c>
      <c r="AI15" s="205">
        <f t="shared" si="9"/>
        <v>8</v>
      </c>
      <c r="AJ15" s="205">
        <f t="shared" si="10"/>
        <v>16.666666666666668</v>
      </c>
      <c r="AK15" s="79">
        <f t="shared" si="17"/>
        <v>0.53426884535491759</v>
      </c>
      <c r="AL15" s="79">
        <f t="shared" si="18"/>
        <v>1.0176549435331763</v>
      </c>
      <c r="AM15" s="79">
        <f t="shared" si="11"/>
        <v>1.424716920946447</v>
      </c>
      <c r="AN15" s="79">
        <f t="shared" si="12"/>
        <v>2.9681602519717649</v>
      </c>
      <c r="AO15" s="1" t="b">
        <f t="shared" si="3"/>
        <v>0</v>
      </c>
      <c r="AP15" s="1" t="b">
        <f t="shared" si="4"/>
        <v>0</v>
      </c>
      <c r="AQ15" s="1" t="b">
        <f t="shared" si="13"/>
        <v>0</v>
      </c>
      <c r="AR15" s="1" t="b">
        <f t="shared" si="14"/>
        <v>0</v>
      </c>
    </row>
    <row r="16" spans="1:44" s="64" customFormat="1" hidden="1" x14ac:dyDescent="0.2">
      <c r="A16" s="133">
        <v>42474</v>
      </c>
      <c r="B16" s="62" t="s">
        <v>213</v>
      </c>
      <c r="C16" s="90" t="s">
        <v>199</v>
      </c>
      <c r="D16" s="90" t="s">
        <v>278</v>
      </c>
      <c r="E16" s="90">
        <v>4</v>
      </c>
      <c r="F16" s="90" t="s">
        <v>276</v>
      </c>
      <c r="G16" s="67">
        <v>18509.673091500201</v>
      </c>
      <c r="H16" s="68">
        <v>5.0279999999999996</v>
      </c>
      <c r="I16" s="55">
        <v>21.9625958565302</v>
      </c>
      <c r="J16" s="64">
        <f>G16*$B$3*$B$1/($H16*(1-$I16%))</f>
        <v>19.655741110168037</v>
      </c>
      <c r="K16" s="88"/>
      <c r="M16" s="67"/>
      <c r="N16" s="65"/>
      <c r="O16" s="66"/>
      <c r="T16" s="75" t="s">
        <v>210</v>
      </c>
      <c r="U16" s="67"/>
      <c r="W16" s="81"/>
      <c r="X16" s="62"/>
      <c r="Y16" s="63"/>
      <c r="AB16" s="64">
        <f t="shared" si="5"/>
        <v>6.5221754681180143E-5</v>
      </c>
      <c r="AC16" s="69">
        <f t="shared" si="6"/>
        <v>35.251151802716265</v>
      </c>
      <c r="AE16" s="67" t="b">
        <f t="shared" si="7"/>
        <v>0</v>
      </c>
      <c r="AF16" s="67" t="b">
        <f t="shared" si="8"/>
        <v>0</v>
      </c>
      <c r="AG16" s="205">
        <f t="shared" si="15"/>
        <v>3</v>
      </c>
      <c r="AH16" s="205">
        <f t="shared" si="16"/>
        <v>5.7142857142857144</v>
      </c>
      <c r="AI16" s="205">
        <f t="shared" si="9"/>
        <v>8</v>
      </c>
      <c r="AJ16" s="205">
        <f t="shared" si="10"/>
        <v>16.666666666666668</v>
      </c>
      <c r="AK16" s="79">
        <f t="shared" si="17"/>
        <v>141.00460721086506</v>
      </c>
      <c r="AL16" s="79">
        <f t="shared" si="18"/>
        <v>268.58020421117152</v>
      </c>
      <c r="AM16" s="79">
        <f t="shared" si="11"/>
        <v>376.01228589564016</v>
      </c>
      <c r="AN16" s="79">
        <f t="shared" si="12"/>
        <v>783.3589289492503</v>
      </c>
      <c r="AO16" s="1" t="b">
        <f t="shared" si="3"/>
        <v>0</v>
      </c>
      <c r="AP16" s="1" t="b">
        <f t="shared" si="4"/>
        <v>0</v>
      </c>
      <c r="AQ16" s="1" t="b">
        <f t="shared" si="13"/>
        <v>0</v>
      </c>
      <c r="AR16" s="1" t="b">
        <f t="shared" si="14"/>
        <v>0</v>
      </c>
    </row>
    <row r="17" spans="1:44" hidden="1" x14ac:dyDescent="0.2">
      <c r="A17" s="134">
        <v>42507</v>
      </c>
      <c r="B17" s="3" t="s">
        <v>84</v>
      </c>
      <c r="C17" s="52" t="s">
        <v>199</v>
      </c>
      <c r="D17" s="52" t="s">
        <v>278</v>
      </c>
      <c r="E17" s="52">
        <v>5</v>
      </c>
      <c r="F17" s="52" t="s">
        <v>276</v>
      </c>
      <c r="G17" s="10">
        <v>37.3868323035123</v>
      </c>
      <c r="H17" s="12">
        <v>4.9992000000000001</v>
      </c>
      <c r="I17" s="54">
        <v>20.202276038674242</v>
      </c>
      <c r="J17" s="1">
        <f t="shared" si="0"/>
        <v>3.9049584058374366E-2</v>
      </c>
      <c r="K17" s="88"/>
      <c r="L17" s="1"/>
      <c r="N17" s="7"/>
      <c r="O17" s="8"/>
      <c r="P17" s="1">
        <v>0</v>
      </c>
      <c r="Q17" s="1">
        <v>0</v>
      </c>
      <c r="R17" s="1">
        <v>0</v>
      </c>
      <c r="S17"/>
      <c r="T17" s="74">
        <v>97.682560585143591</v>
      </c>
      <c r="U17" s="9">
        <f>(T17-G17)/T17*100</f>
        <v>61.726195464619693</v>
      </c>
      <c r="V17" s="1">
        <f>T17*$B$3*$B$1/($H17*(1-$I17%))</f>
        <v>0.1020269203242571</v>
      </c>
      <c r="W17" s="58"/>
      <c r="X17" s="3"/>
      <c r="Y17" s="46"/>
      <c r="AB17" s="64">
        <f t="shared" si="5"/>
        <v>1.3173840471152623E-7</v>
      </c>
      <c r="AC17" s="69">
        <f t="shared" si="6"/>
        <v>7.1202170586092767E-2</v>
      </c>
      <c r="AE17" s="67">
        <f t="shared" si="7"/>
        <v>1</v>
      </c>
      <c r="AF17" s="67">
        <f t="shared" si="8"/>
        <v>1</v>
      </c>
      <c r="AG17" s="205">
        <f t="shared" si="15"/>
        <v>3</v>
      </c>
      <c r="AH17" s="205">
        <f t="shared" si="16"/>
        <v>5.7142857142857144</v>
      </c>
      <c r="AI17" s="205">
        <f t="shared" si="9"/>
        <v>8</v>
      </c>
      <c r="AJ17" s="205">
        <f t="shared" si="10"/>
        <v>16.666666666666668</v>
      </c>
      <c r="AK17" s="79">
        <f t="shared" si="17"/>
        <v>0.28480868234437107</v>
      </c>
      <c r="AL17" s="79">
        <f t="shared" si="18"/>
        <v>0.54249272827499251</v>
      </c>
      <c r="AM17" s="79">
        <f t="shared" si="11"/>
        <v>0.75948981958498951</v>
      </c>
      <c r="AN17" s="79">
        <f t="shared" si="12"/>
        <v>1.5822704574687283</v>
      </c>
      <c r="AO17" s="1" t="b">
        <f t="shared" si="3"/>
        <v>0</v>
      </c>
      <c r="AP17" s="1" t="b">
        <f t="shared" si="4"/>
        <v>0</v>
      </c>
      <c r="AQ17" s="1" t="b">
        <f t="shared" si="13"/>
        <v>0</v>
      </c>
      <c r="AR17" s="1" t="b">
        <f t="shared" si="14"/>
        <v>0</v>
      </c>
    </row>
    <row r="18" spans="1:44" hidden="1" x14ac:dyDescent="0.2">
      <c r="A18" s="133">
        <v>42474</v>
      </c>
      <c r="B18" s="1" t="s">
        <v>257</v>
      </c>
      <c r="C18" s="51" t="s">
        <v>199</v>
      </c>
      <c r="D18" s="51" t="s">
        <v>278</v>
      </c>
      <c r="E18" s="51">
        <v>7</v>
      </c>
      <c r="F18" s="51" t="s">
        <v>276</v>
      </c>
      <c r="G18" s="10">
        <v>9836.1506674620796</v>
      </c>
      <c r="H18" s="12">
        <v>5.0353000000000003</v>
      </c>
      <c r="I18" s="54">
        <v>22.292069433165889</v>
      </c>
      <c r="J18" s="1">
        <f t="shared" si="0"/>
        <v>10.474257265451554</v>
      </c>
      <c r="K18" s="88"/>
      <c r="L18" s="1"/>
      <c r="N18" s="7"/>
      <c r="O18" s="8"/>
      <c r="P18" s="1">
        <v>0</v>
      </c>
      <c r="Q18" s="1">
        <v>0</v>
      </c>
      <c r="R18" s="1">
        <v>0</v>
      </c>
      <c r="S18"/>
      <c r="T18" s="9">
        <v>66683.939449991376</v>
      </c>
      <c r="U18" s="9">
        <f>(T18-G18)/T18*100</f>
        <v>85.249595706866501</v>
      </c>
      <c r="V18" s="1">
        <f>T18*$B$3*$B$1/($H18*(1-$I18%))</f>
        <v>71.009967301895884</v>
      </c>
      <c r="W18" s="58"/>
      <c r="Y18" s="46"/>
      <c r="AB18" s="64">
        <f t="shared" si="5"/>
        <v>3.4659229402324483E-5</v>
      </c>
      <c r="AC18" s="69">
        <f t="shared" si="6"/>
        <v>18.732672296212439</v>
      </c>
      <c r="AE18" s="67" t="b">
        <f t="shared" si="7"/>
        <v>0</v>
      </c>
      <c r="AF18" s="67" t="b">
        <f t="shared" si="8"/>
        <v>0</v>
      </c>
      <c r="AG18" s="205">
        <f t="shared" si="15"/>
        <v>3</v>
      </c>
      <c r="AH18" s="205">
        <f t="shared" si="16"/>
        <v>5.7142857142857144</v>
      </c>
      <c r="AI18" s="205">
        <f t="shared" si="9"/>
        <v>8</v>
      </c>
      <c r="AJ18" s="205">
        <f t="shared" si="10"/>
        <v>16.666666666666668</v>
      </c>
      <c r="AK18" s="79">
        <f t="shared" si="17"/>
        <v>74.930689184849754</v>
      </c>
      <c r="AL18" s="79">
        <f t="shared" si="18"/>
        <v>142.72512225685668</v>
      </c>
      <c r="AM18" s="79">
        <f t="shared" si="11"/>
        <v>199.81517115959934</v>
      </c>
      <c r="AN18" s="79">
        <f t="shared" si="12"/>
        <v>416.28160658249868</v>
      </c>
      <c r="AO18" s="1" t="b">
        <f t="shared" si="3"/>
        <v>0</v>
      </c>
      <c r="AP18" s="1" t="b">
        <f t="shared" si="4"/>
        <v>0</v>
      </c>
      <c r="AQ18" s="1" t="b">
        <f t="shared" si="13"/>
        <v>0</v>
      </c>
      <c r="AR18" s="1" t="b">
        <f t="shared" si="14"/>
        <v>0</v>
      </c>
    </row>
    <row r="19" spans="1:44" hidden="1" x14ac:dyDescent="0.2">
      <c r="A19" s="133">
        <v>42474</v>
      </c>
      <c r="B19" s="1" t="s">
        <v>65</v>
      </c>
      <c r="C19" s="51" t="s">
        <v>199</v>
      </c>
      <c r="D19" s="51" t="s">
        <v>278</v>
      </c>
      <c r="E19" s="51">
        <v>8</v>
      </c>
      <c r="F19" s="51" t="s">
        <v>276</v>
      </c>
      <c r="G19" s="10">
        <v>24661.601765350399</v>
      </c>
      <c r="H19" s="12">
        <v>5.0800999999999998</v>
      </c>
      <c r="I19" s="54">
        <v>23.487379272057524</v>
      </c>
      <c r="J19" s="1">
        <f t="shared" si="0"/>
        <v>26.436545198895246</v>
      </c>
      <c r="K19" s="88"/>
      <c r="L19" s="1"/>
      <c r="N19" s="7"/>
      <c r="O19" s="8"/>
      <c r="P19" s="1">
        <v>0</v>
      </c>
      <c r="Q19" s="1">
        <v>0</v>
      </c>
      <c r="R19" s="1">
        <v>0</v>
      </c>
      <c r="S19"/>
      <c r="T19" s="9">
        <v>63135.904343634771</v>
      </c>
      <c r="U19" s="9">
        <f>(T19-G19)/T19*100</f>
        <v>60.938863517147468</v>
      </c>
      <c r="V19" s="1">
        <f>T19*$B$3*$B$1/($H19*(1-$I19%))</f>
        <v>67.679918147032524</v>
      </c>
      <c r="W19" s="58"/>
      <c r="Y19" s="46"/>
      <c r="AB19" s="64">
        <f t="shared" si="5"/>
        <v>8.6899046376095492E-5</v>
      </c>
      <c r="AC19" s="69">
        <f t="shared" si="6"/>
        <v>46.967326933921655</v>
      </c>
      <c r="AE19" s="67" t="b">
        <f t="shared" si="7"/>
        <v>0</v>
      </c>
      <c r="AF19" s="67" t="b">
        <f t="shared" si="8"/>
        <v>0</v>
      </c>
      <c r="AG19" s="205">
        <f t="shared" si="15"/>
        <v>3</v>
      </c>
      <c r="AH19" s="205">
        <f t="shared" si="16"/>
        <v>5.7142857142857144</v>
      </c>
      <c r="AI19" s="205">
        <f t="shared" si="9"/>
        <v>8</v>
      </c>
      <c r="AJ19" s="205">
        <f t="shared" si="10"/>
        <v>16.666666666666668</v>
      </c>
      <c r="AK19" s="79">
        <f t="shared" si="17"/>
        <v>187.86930773568665</v>
      </c>
      <c r="AL19" s="79">
        <f t="shared" si="18"/>
        <v>357.84630044892691</v>
      </c>
      <c r="AM19" s="79">
        <f t="shared" si="11"/>
        <v>500.98482062849763</v>
      </c>
      <c r="AN19" s="79">
        <f t="shared" si="12"/>
        <v>1043.7183763093701</v>
      </c>
      <c r="AO19" s="1" t="b">
        <f t="shared" si="3"/>
        <v>0</v>
      </c>
      <c r="AP19" s="1" t="b">
        <f t="shared" si="4"/>
        <v>0</v>
      </c>
      <c r="AQ19" s="1" t="b">
        <f t="shared" si="13"/>
        <v>0</v>
      </c>
      <c r="AR19" s="1" t="b">
        <f t="shared" si="14"/>
        <v>0</v>
      </c>
    </row>
    <row r="20" spans="1:44" s="64" customFormat="1" hidden="1" x14ac:dyDescent="0.2">
      <c r="A20" s="133">
        <v>42502</v>
      </c>
      <c r="B20" s="64" t="s">
        <v>214</v>
      </c>
      <c r="C20" s="87" t="s">
        <v>199</v>
      </c>
      <c r="D20" s="87" t="s">
        <v>279</v>
      </c>
      <c r="E20" s="87">
        <v>2</v>
      </c>
      <c r="F20" s="87" t="s">
        <v>276</v>
      </c>
      <c r="G20" s="67">
        <v>4080.0050095622701</v>
      </c>
      <c r="H20" s="68">
        <v>5.0376000000000003</v>
      </c>
      <c r="I20" s="55">
        <v>29.428078771002784</v>
      </c>
      <c r="J20" s="64">
        <f t="shared" si="0"/>
        <v>4.7818267109340464</v>
      </c>
      <c r="K20" s="88"/>
      <c r="M20" s="67"/>
      <c r="N20" s="65"/>
      <c r="O20" s="66"/>
      <c r="T20" s="67" t="s">
        <v>210</v>
      </c>
      <c r="U20" s="67"/>
      <c r="W20" s="81"/>
      <c r="Y20" s="63"/>
      <c r="AB20" s="64">
        <f t="shared" si="5"/>
        <v>1.4376541633998612E-5</v>
      </c>
      <c r="AC20" s="69">
        <f t="shared" si="6"/>
        <v>7.7702547871560208</v>
      </c>
      <c r="AE20" s="67" t="b">
        <f t="shared" si="7"/>
        <v>0</v>
      </c>
      <c r="AF20" s="67">
        <f t="shared" si="8"/>
        <v>1</v>
      </c>
      <c r="AG20" s="205">
        <f t="shared" si="15"/>
        <v>3</v>
      </c>
      <c r="AH20" s="205">
        <f t="shared" si="16"/>
        <v>5.7142857142857144</v>
      </c>
      <c r="AI20" s="205">
        <f t="shared" si="9"/>
        <v>8</v>
      </c>
      <c r="AJ20" s="205">
        <f t="shared" si="10"/>
        <v>16.666666666666668</v>
      </c>
      <c r="AK20" s="79">
        <f t="shared" si="17"/>
        <v>31.081019148624083</v>
      </c>
      <c r="AL20" s="79">
        <f t="shared" si="18"/>
        <v>59.201941235474443</v>
      </c>
      <c r="AM20" s="79">
        <f t="shared" si="11"/>
        <v>82.882717729664222</v>
      </c>
      <c r="AN20" s="79">
        <f t="shared" si="12"/>
        <v>172.67232860346715</v>
      </c>
      <c r="AO20" s="1" t="b">
        <f t="shared" si="3"/>
        <v>1</v>
      </c>
      <c r="AP20" s="1" t="b">
        <f t="shared" si="4"/>
        <v>0</v>
      </c>
      <c r="AQ20" s="1" t="b">
        <f t="shared" si="13"/>
        <v>0</v>
      </c>
      <c r="AR20" s="1" t="b">
        <f t="shared" si="14"/>
        <v>0</v>
      </c>
    </row>
    <row r="21" spans="1:44" s="11" customFormat="1" hidden="1" x14ac:dyDescent="0.2">
      <c r="A21" s="135"/>
      <c r="B21" s="3" t="s">
        <v>289</v>
      </c>
      <c r="C21" s="52" t="s">
        <v>199</v>
      </c>
      <c r="D21" s="52" t="s">
        <v>279</v>
      </c>
      <c r="E21" s="52" t="s">
        <v>288</v>
      </c>
      <c r="F21" s="52" t="s">
        <v>276</v>
      </c>
      <c r="G21" s="94" t="s">
        <v>375</v>
      </c>
      <c r="H21" s="12"/>
      <c r="I21" s="328"/>
      <c r="J21" s="1"/>
      <c r="K21" s="88"/>
      <c r="M21" s="10"/>
      <c r="N21" s="7"/>
      <c r="O21" s="8"/>
      <c r="T21" s="10"/>
      <c r="U21" s="10"/>
      <c r="W21" s="82" t="s">
        <v>319</v>
      </c>
      <c r="Y21" s="77"/>
      <c r="AB21" s="64" t="e">
        <f t="shared" si="5"/>
        <v>#VALUE!</v>
      </c>
      <c r="AC21" s="69" t="e">
        <f t="shared" si="6"/>
        <v>#VALUE!</v>
      </c>
      <c r="AE21" s="67" t="e">
        <f t="shared" si="7"/>
        <v>#VALUE!</v>
      </c>
      <c r="AF21" s="67" t="e">
        <f t="shared" si="8"/>
        <v>#VALUE!</v>
      </c>
      <c r="AG21" s="205">
        <f t="shared" si="15"/>
        <v>3</v>
      </c>
      <c r="AH21" s="205">
        <f t="shared" si="16"/>
        <v>5.7142857142857144</v>
      </c>
      <c r="AI21" s="205">
        <f t="shared" si="9"/>
        <v>8</v>
      </c>
      <c r="AJ21" s="205">
        <f t="shared" si="10"/>
        <v>16.666666666666668</v>
      </c>
      <c r="AK21" s="79" t="e">
        <f t="shared" si="17"/>
        <v>#VALUE!</v>
      </c>
      <c r="AL21" s="79" t="e">
        <f t="shared" si="18"/>
        <v>#VALUE!</v>
      </c>
      <c r="AM21" s="79" t="e">
        <f t="shared" si="11"/>
        <v>#VALUE!</v>
      </c>
      <c r="AN21" s="79" t="e">
        <f t="shared" si="12"/>
        <v>#VALUE!</v>
      </c>
      <c r="AO21" s="1" t="e">
        <f t="shared" si="3"/>
        <v>#VALUE!</v>
      </c>
      <c r="AP21" s="1" t="e">
        <f t="shared" si="4"/>
        <v>#VALUE!</v>
      </c>
      <c r="AQ21" s="1" t="e">
        <f t="shared" si="13"/>
        <v>#VALUE!</v>
      </c>
      <c r="AR21" s="1" t="e">
        <f t="shared" si="14"/>
        <v>#VALUE!</v>
      </c>
    </row>
    <row r="22" spans="1:44" s="11" customFormat="1" hidden="1" x14ac:dyDescent="0.2">
      <c r="A22" s="133">
        <f>[9]Sieving!$H$68</f>
        <v>42521</v>
      </c>
      <c r="B22" s="3" t="s">
        <v>290</v>
      </c>
      <c r="C22" s="52" t="s">
        <v>199</v>
      </c>
      <c r="D22" s="52" t="s">
        <v>279</v>
      </c>
      <c r="E22" s="52" t="s">
        <v>286</v>
      </c>
      <c r="F22" s="52" t="s">
        <v>276</v>
      </c>
      <c r="G22" s="94" t="s">
        <v>375</v>
      </c>
      <c r="H22" s="12"/>
      <c r="I22" s="328"/>
      <c r="J22" s="1"/>
      <c r="K22" s="88"/>
      <c r="M22" s="10"/>
      <c r="N22" s="7"/>
      <c r="O22" s="8"/>
      <c r="T22" s="10"/>
      <c r="U22" s="10"/>
      <c r="W22" s="82" t="s">
        <v>319</v>
      </c>
      <c r="Y22" s="77"/>
      <c r="AB22" s="64" t="e">
        <f t="shared" si="5"/>
        <v>#VALUE!</v>
      </c>
      <c r="AC22" s="69" t="e">
        <f t="shared" si="6"/>
        <v>#VALUE!</v>
      </c>
      <c r="AE22" s="67" t="e">
        <f t="shared" si="7"/>
        <v>#VALUE!</v>
      </c>
      <c r="AF22" s="67" t="e">
        <f t="shared" si="8"/>
        <v>#VALUE!</v>
      </c>
      <c r="AG22" s="205">
        <f t="shared" si="15"/>
        <v>3</v>
      </c>
      <c r="AH22" s="205">
        <f t="shared" si="16"/>
        <v>5.7142857142857144</v>
      </c>
      <c r="AI22" s="205">
        <f t="shared" si="9"/>
        <v>8</v>
      </c>
      <c r="AJ22" s="205">
        <f t="shared" si="10"/>
        <v>16.666666666666668</v>
      </c>
      <c r="AK22" s="79" t="e">
        <f t="shared" si="17"/>
        <v>#VALUE!</v>
      </c>
      <c r="AL22" s="79" t="e">
        <f t="shared" si="18"/>
        <v>#VALUE!</v>
      </c>
      <c r="AM22" s="79" t="e">
        <f t="shared" si="11"/>
        <v>#VALUE!</v>
      </c>
      <c r="AN22" s="79" t="e">
        <f t="shared" si="12"/>
        <v>#VALUE!</v>
      </c>
      <c r="AO22" s="1" t="e">
        <f t="shared" si="3"/>
        <v>#VALUE!</v>
      </c>
      <c r="AP22" s="1" t="e">
        <f t="shared" si="4"/>
        <v>#VALUE!</v>
      </c>
      <c r="AQ22" s="1" t="e">
        <f t="shared" si="13"/>
        <v>#VALUE!</v>
      </c>
      <c r="AR22" s="1" t="e">
        <f t="shared" si="14"/>
        <v>#VALUE!</v>
      </c>
    </row>
    <row r="23" spans="1:44" s="11" customFormat="1" hidden="1" x14ac:dyDescent="0.2">
      <c r="A23" s="135"/>
      <c r="B23" s="3" t="s">
        <v>291</v>
      </c>
      <c r="C23" s="52" t="s">
        <v>199</v>
      </c>
      <c r="D23" s="52" t="s">
        <v>279</v>
      </c>
      <c r="E23" s="52" t="s">
        <v>287</v>
      </c>
      <c r="F23" s="52" t="s">
        <v>276</v>
      </c>
      <c r="G23" s="94" t="s">
        <v>375</v>
      </c>
      <c r="H23" s="12"/>
      <c r="I23" s="328"/>
      <c r="J23" s="121"/>
      <c r="K23" s="88"/>
      <c r="L23" s="122"/>
      <c r="M23" s="10"/>
      <c r="N23" s="7"/>
      <c r="O23" s="8"/>
      <c r="T23" s="10"/>
      <c r="U23" s="10"/>
      <c r="W23" s="82" t="s">
        <v>319</v>
      </c>
      <c r="Y23" s="77"/>
      <c r="AB23" s="64" t="e">
        <f t="shared" si="5"/>
        <v>#VALUE!</v>
      </c>
      <c r="AC23" s="69" t="e">
        <f t="shared" si="6"/>
        <v>#VALUE!</v>
      </c>
      <c r="AE23" s="67" t="e">
        <f t="shared" si="7"/>
        <v>#VALUE!</v>
      </c>
      <c r="AF23" s="67" t="e">
        <f t="shared" si="8"/>
        <v>#VALUE!</v>
      </c>
      <c r="AG23" s="205">
        <f t="shared" si="15"/>
        <v>3</v>
      </c>
      <c r="AH23" s="205">
        <f t="shared" si="16"/>
        <v>5.7142857142857144</v>
      </c>
      <c r="AI23" s="205">
        <f t="shared" si="9"/>
        <v>8</v>
      </c>
      <c r="AJ23" s="205">
        <f t="shared" si="10"/>
        <v>16.666666666666668</v>
      </c>
      <c r="AK23" s="79" t="e">
        <f t="shared" si="17"/>
        <v>#VALUE!</v>
      </c>
      <c r="AL23" s="79" t="e">
        <f t="shared" si="18"/>
        <v>#VALUE!</v>
      </c>
      <c r="AM23" s="79" t="e">
        <f t="shared" si="11"/>
        <v>#VALUE!</v>
      </c>
      <c r="AN23" s="79" t="e">
        <f t="shared" si="12"/>
        <v>#VALUE!</v>
      </c>
      <c r="AO23" s="1" t="e">
        <f t="shared" si="3"/>
        <v>#VALUE!</v>
      </c>
      <c r="AP23" s="1" t="e">
        <f t="shared" si="4"/>
        <v>#VALUE!</v>
      </c>
      <c r="AQ23" s="1" t="e">
        <f t="shared" si="13"/>
        <v>#VALUE!</v>
      </c>
      <c r="AR23" s="1" t="e">
        <f t="shared" si="14"/>
        <v>#VALUE!</v>
      </c>
    </row>
    <row r="24" spans="1:44" s="64" customFormat="1" hidden="1" x14ac:dyDescent="0.2">
      <c r="A24" s="133">
        <v>42521</v>
      </c>
      <c r="B24" s="64" t="s">
        <v>215</v>
      </c>
      <c r="C24" s="87" t="s">
        <v>199</v>
      </c>
      <c r="D24" s="87" t="s">
        <v>279</v>
      </c>
      <c r="E24" s="87">
        <v>7</v>
      </c>
      <c r="F24" s="87" t="s">
        <v>276</v>
      </c>
      <c r="G24" s="67">
        <v>1644.53589275473</v>
      </c>
      <c r="H24" s="68">
        <v>5.0007000000000001</v>
      </c>
      <c r="I24" s="55">
        <v>27.652750329960678</v>
      </c>
      <c r="J24" s="64">
        <f t="shared" ref="J24:J30" si="20">G24*$B$3*$B$1/($H24*(1-$I24%))</f>
        <v>1.8939970045595726</v>
      </c>
      <c r="K24" s="88"/>
      <c r="M24" s="67"/>
      <c r="N24" s="65"/>
      <c r="O24" s="66"/>
      <c r="T24" s="67" t="s">
        <v>210</v>
      </c>
      <c r="U24" s="67"/>
      <c r="W24" s="81"/>
      <c r="Y24" s="63"/>
      <c r="AB24" s="64">
        <f t="shared" si="5"/>
        <v>5.7947817895767734E-6</v>
      </c>
      <c r="AC24" s="69">
        <f t="shared" si="6"/>
        <v>3.1319723538031394</v>
      </c>
      <c r="AE24" s="67" t="b">
        <f t="shared" si="7"/>
        <v>0</v>
      </c>
      <c r="AF24" s="67">
        <f t="shared" si="8"/>
        <v>1</v>
      </c>
      <c r="AG24" s="205">
        <f t="shared" si="15"/>
        <v>3</v>
      </c>
      <c r="AH24" s="205">
        <f t="shared" si="16"/>
        <v>5.7142857142857144</v>
      </c>
      <c r="AI24" s="205">
        <f t="shared" si="9"/>
        <v>8</v>
      </c>
      <c r="AJ24" s="205">
        <f t="shared" si="10"/>
        <v>16.666666666666668</v>
      </c>
      <c r="AK24" s="79">
        <f t="shared" si="17"/>
        <v>12.527889415212558</v>
      </c>
      <c r="AL24" s="79">
        <f t="shared" si="18"/>
        <v>23.862646505166779</v>
      </c>
      <c r="AM24" s="79">
        <f t="shared" si="11"/>
        <v>33.40770510723349</v>
      </c>
      <c r="AN24" s="79">
        <f t="shared" si="12"/>
        <v>69.599385640069769</v>
      </c>
      <c r="AO24" s="1" t="b">
        <f t="shared" si="3"/>
        <v>1</v>
      </c>
      <c r="AP24" s="1" t="b">
        <f t="shared" si="4"/>
        <v>0</v>
      </c>
      <c r="AQ24" s="1" t="b">
        <f t="shared" si="13"/>
        <v>0</v>
      </c>
      <c r="AR24" s="1" t="b">
        <f t="shared" si="14"/>
        <v>0</v>
      </c>
    </row>
    <row r="25" spans="1:44" s="64" customFormat="1" hidden="1" x14ac:dyDescent="0.2">
      <c r="A25" s="133">
        <v>42521</v>
      </c>
      <c r="B25" s="64" t="s">
        <v>246</v>
      </c>
      <c r="C25" s="87" t="s">
        <v>199</v>
      </c>
      <c r="D25" s="87" t="s">
        <v>279</v>
      </c>
      <c r="E25" s="87">
        <v>8</v>
      </c>
      <c r="F25" s="87" t="s">
        <v>276</v>
      </c>
      <c r="G25" s="67">
        <v>1432.0720851968799</v>
      </c>
      <c r="H25" s="68">
        <v>5.0864000000000003</v>
      </c>
      <c r="I25" s="55">
        <v>27.285785456873256</v>
      </c>
      <c r="J25" s="64">
        <f t="shared" si="20"/>
        <v>1.6133322294475281</v>
      </c>
      <c r="K25" s="88"/>
      <c r="M25" s="67"/>
      <c r="N25" s="65"/>
      <c r="O25" s="66"/>
      <c r="T25" s="67" t="s">
        <v>210</v>
      </c>
      <c r="U25" s="67"/>
      <c r="W25" s="81"/>
      <c r="Y25" s="63"/>
      <c r="AB25" s="64">
        <f t="shared" si="5"/>
        <v>5.0461320286292976E-6</v>
      </c>
      <c r="AC25" s="69">
        <f t="shared" si="6"/>
        <v>2.7273410080316056</v>
      </c>
      <c r="AE25" s="67">
        <f t="shared" si="7"/>
        <v>1</v>
      </c>
      <c r="AF25" s="67">
        <f t="shared" si="8"/>
        <v>1</v>
      </c>
      <c r="AG25" s="205">
        <f t="shared" si="15"/>
        <v>3</v>
      </c>
      <c r="AH25" s="205">
        <f t="shared" si="16"/>
        <v>5.7142857142857144</v>
      </c>
      <c r="AI25" s="205">
        <f t="shared" si="9"/>
        <v>8</v>
      </c>
      <c r="AJ25" s="205">
        <f t="shared" si="10"/>
        <v>16.666666666666668</v>
      </c>
      <c r="AK25" s="79">
        <f t="shared" si="17"/>
        <v>10.909364032126424</v>
      </c>
      <c r="AL25" s="79">
        <f t="shared" si="18"/>
        <v>20.779741013574139</v>
      </c>
      <c r="AM25" s="79">
        <f t="shared" si="11"/>
        <v>29.091637419003792</v>
      </c>
      <c r="AN25" s="79">
        <f t="shared" si="12"/>
        <v>60.607577956257906</v>
      </c>
      <c r="AO25" s="1" t="b">
        <f t="shared" si="3"/>
        <v>1</v>
      </c>
      <c r="AP25" s="1" t="b">
        <f t="shared" si="4"/>
        <v>0</v>
      </c>
      <c r="AQ25" s="1" t="b">
        <f t="shared" si="13"/>
        <v>0</v>
      </c>
      <c r="AR25" s="1" t="b">
        <f t="shared" si="14"/>
        <v>0</v>
      </c>
    </row>
    <row r="26" spans="1:44" s="64" customFormat="1" hidden="1" x14ac:dyDescent="0.2">
      <c r="A26" s="133">
        <v>42563</v>
      </c>
      <c r="B26" s="64" t="s">
        <v>216</v>
      </c>
      <c r="C26" s="87" t="s">
        <v>199</v>
      </c>
      <c r="D26" s="87" t="s">
        <v>280</v>
      </c>
      <c r="E26" s="87">
        <v>1</v>
      </c>
      <c r="F26" s="87" t="s">
        <v>276</v>
      </c>
      <c r="G26" s="67">
        <v>4573.1052914623597</v>
      </c>
      <c r="H26" s="68">
        <v>5.1680000000000001</v>
      </c>
      <c r="I26" s="55">
        <v>14.044045892127158</v>
      </c>
      <c r="J26" s="64">
        <f t="shared" si="20"/>
        <v>4.2894488034199671</v>
      </c>
      <c r="K26" s="88"/>
      <c r="M26" s="67"/>
      <c r="N26" s="65"/>
      <c r="O26" s="66"/>
      <c r="T26" s="67" t="s">
        <v>210</v>
      </c>
      <c r="U26" s="67"/>
      <c r="W26" s="81"/>
      <c r="Y26" s="63"/>
      <c r="AB26" s="64">
        <f t="shared" si="5"/>
        <v>1.6114058307595458E-5</v>
      </c>
      <c r="AC26" s="69">
        <f t="shared" si="6"/>
        <v>8.7093504051766537</v>
      </c>
      <c r="AE26" s="67" t="b">
        <f t="shared" si="7"/>
        <v>0</v>
      </c>
      <c r="AF26" s="67">
        <f t="shared" si="8"/>
        <v>1</v>
      </c>
      <c r="AG26" s="205">
        <f t="shared" si="15"/>
        <v>3</v>
      </c>
      <c r="AH26" s="205">
        <f t="shared" si="16"/>
        <v>5.7142857142857144</v>
      </c>
      <c r="AI26" s="205">
        <f t="shared" si="9"/>
        <v>8</v>
      </c>
      <c r="AJ26" s="205">
        <f t="shared" si="10"/>
        <v>16.666666666666668</v>
      </c>
      <c r="AK26" s="79">
        <f t="shared" si="17"/>
        <v>34.837401620706615</v>
      </c>
      <c r="AL26" s="79">
        <f t="shared" si="18"/>
        <v>66.3569554680126</v>
      </c>
      <c r="AM26" s="79">
        <f t="shared" si="11"/>
        <v>92.899737655217635</v>
      </c>
      <c r="AN26" s="79">
        <f t="shared" si="12"/>
        <v>193.54112011503676</v>
      </c>
      <c r="AO26" s="1" t="b">
        <f t="shared" si="3"/>
        <v>1</v>
      </c>
      <c r="AP26" s="1" t="b">
        <f t="shared" si="4"/>
        <v>0</v>
      </c>
      <c r="AQ26" s="1" t="b">
        <f t="shared" si="13"/>
        <v>0</v>
      </c>
      <c r="AR26" s="1" t="b">
        <f t="shared" si="14"/>
        <v>0</v>
      </c>
    </row>
    <row r="27" spans="1:44" s="64" customFormat="1" hidden="1" x14ac:dyDescent="0.2">
      <c r="A27" s="133">
        <v>42549</v>
      </c>
      <c r="B27" s="64" t="s">
        <v>247</v>
      </c>
      <c r="C27" s="87" t="s">
        <v>199</v>
      </c>
      <c r="D27" s="87" t="s">
        <v>280</v>
      </c>
      <c r="E27" s="87">
        <v>2</v>
      </c>
      <c r="F27" s="87" t="s">
        <v>276</v>
      </c>
      <c r="G27" s="67">
        <v>758.33039305329601</v>
      </c>
      <c r="H27" s="68">
        <v>5.0307000000000004</v>
      </c>
      <c r="I27" s="55">
        <v>19.085399428185379</v>
      </c>
      <c r="J27" s="64">
        <f t="shared" si="20"/>
        <v>0.77623265084666182</v>
      </c>
      <c r="K27" s="88"/>
      <c r="M27" s="67"/>
      <c r="N27" s="65"/>
      <c r="O27" s="66"/>
      <c r="T27" s="67" t="s">
        <v>210</v>
      </c>
      <c r="U27" s="67"/>
      <c r="W27" s="81"/>
      <c r="Y27" s="63"/>
      <c r="AB27" s="64">
        <f t="shared" si="5"/>
        <v>2.6720968338288633E-6</v>
      </c>
      <c r="AC27" s="69">
        <f t="shared" si="6"/>
        <v>1.4442189048930747</v>
      </c>
      <c r="AE27" s="67">
        <f t="shared" si="7"/>
        <v>1</v>
      </c>
      <c r="AF27" s="67">
        <f t="shared" si="8"/>
        <v>1</v>
      </c>
      <c r="AG27" s="205">
        <f t="shared" si="15"/>
        <v>3</v>
      </c>
      <c r="AH27" s="205">
        <f t="shared" si="16"/>
        <v>5.7142857142857144</v>
      </c>
      <c r="AI27" s="205">
        <f t="shared" si="9"/>
        <v>8</v>
      </c>
      <c r="AJ27" s="205">
        <f t="shared" si="10"/>
        <v>16.666666666666668</v>
      </c>
      <c r="AK27" s="79">
        <f t="shared" si="17"/>
        <v>5.7768756195722988</v>
      </c>
      <c r="AL27" s="79">
        <f t="shared" si="18"/>
        <v>11.003572608709142</v>
      </c>
      <c r="AM27" s="79">
        <f t="shared" si="11"/>
        <v>15.405001652192796</v>
      </c>
      <c r="AN27" s="79">
        <f t="shared" si="12"/>
        <v>32.093753442068326</v>
      </c>
      <c r="AO27" s="1" t="b">
        <f t="shared" si="3"/>
        <v>0</v>
      </c>
      <c r="AP27" s="1" t="b">
        <f t="shared" si="4"/>
        <v>1</v>
      </c>
      <c r="AQ27" s="1" t="b">
        <f t="shared" si="13"/>
        <v>0</v>
      </c>
      <c r="AR27" s="1" t="b">
        <f t="shared" si="14"/>
        <v>0</v>
      </c>
    </row>
    <row r="28" spans="1:44" s="64" customFormat="1" hidden="1" x14ac:dyDescent="0.2">
      <c r="A28" s="133">
        <f>[9]Sieving!$H$99</f>
        <v>42563</v>
      </c>
      <c r="B28" s="64" t="s">
        <v>258</v>
      </c>
      <c r="C28" s="87" t="s">
        <v>199</v>
      </c>
      <c r="D28" s="87" t="s">
        <v>280</v>
      </c>
      <c r="E28" s="87">
        <v>3</v>
      </c>
      <c r="F28" s="87" t="s">
        <v>276</v>
      </c>
      <c r="G28" s="67">
        <v>60.552969770905399</v>
      </c>
      <c r="H28" s="68">
        <v>5.0960000000000001</v>
      </c>
      <c r="I28" s="55">
        <v>13.265306122448994</v>
      </c>
      <c r="J28" s="64">
        <f t="shared" si="20"/>
        <v>5.7082362152060154E-2</v>
      </c>
      <c r="K28" s="88"/>
      <c r="M28" s="67"/>
      <c r="N28" s="65"/>
      <c r="O28" s="66"/>
      <c r="T28" s="67" t="s">
        <v>210</v>
      </c>
      <c r="U28" s="67"/>
      <c r="W28" s="81"/>
      <c r="Y28" s="63"/>
      <c r="AB28" s="64">
        <f t="shared" si="5"/>
        <v>2.133679465915848E-7</v>
      </c>
      <c r="AC28" s="69">
        <f t="shared" si="6"/>
        <v>0.11532142782573965</v>
      </c>
      <c r="AE28" s="67">
        <f t="shared" si="7"/>
        <v>1</v>
      </c>
      <c r="AF28" s="67">
        <f t="shared" si="8"/>
        <v>1</v>
      </c>
      <c r="AG28" s="205">
        <f t="shared" si="15"/>
        <v>3</v>
      </c>
      <c r="AH28" s="205">
        <f t="shared" si="16"/>
        <v>5.7142857142857144</v>
      </c>
      <c r="AI28" s="205">
        <f t="shared" si="9"/>
        <v>8</v>
      </c>
      <c r="AJ28" s="205">
        <f t="shared" si="10"/>
        <v>16.666666666666668</v>
      </c>
      <c r="AK28" s="79">
        <f t="shared" si="17"/>
        <v>0.46128571130295865</v>
      </c>
      <c r="AL28" s="79">
        <f t="shared" si="18"/>
        <v>0.87863945010087352</v>
      </c>
      <c r="AM28" s="79">
        <f t="shared" si="11"/>
        <v>1.2300952301412229</v>
      </c>
      <c r="AN28" s="79">
        <f t="shared" si="12"/>
        <v>2.5626983961275478</v>
      </c>
      <c r="AO28" s="1" t="b">
        <f t="shared" si="3"/>
        <v>0</v>
      </c>
      <c r="AP28" s="1" t="b">
        <f t="shared" si="4"/>
        <v>0</v>
      </c>
      <c r="AQ28" s="1" t="b">
        <f t="shared" si="13"/>
        <v>0</v>
      </c>
      <c r="AR28" s="1" t="b">
        <f t="shared" si="14"/>
        <v>0</v>
      </c>
    </row>
    <row r="29" spans="1:44" s="64" customFormat="1" hidden="1" x14ac:dyDescent="0.2">
      <c r="A29" s="133">
        <f>[9]Sieving!H100</f>
        <v>42563</v>
      </c>
      <c r="B29" s="64" t="s">
        <v>248</v>
      </c>
      <c r="C29" s="87" t="s">
        <v>199</v>
      </c>
      <c r="D29" s="87" t="s">
        <v>280</v>
      </c>
      <c r="E29" s="87">
        <v>4</v>
      </c>
      <c r="F29" s="87" t="s">
        <v>276</v>
      </c>
      <c r="G29" s="67">
        <v>597.60165968048796</v>
      </c>
      <c r="H29" s="68">
        <v>5.1448999999999998</v>
      </c>
      <c r="I29" s="55">
        <v>11.221953866078612</v>
      </c>
      <c r="J29" s="64">
        <f t="shared" si="20"/>
        <v>0.54515253090398719</v>
      </c>
      <c r="K29" s="88"/>
      <c r="M29" s="67"/>
      <c r="N29" s="65"/>
      <c r="O29" s="66"/>
      <c r="T29" s="67" t="s">
        <v>210</v>
      </c>
      <c r="U29" s="67"/>
      <c r="W29" s="81"/>
      <c r="Y29" s="63"/>
      <c r="AB29" s="64">
        <f t="shared" si="5"/>
        <v>2.1057437725707477E-6</v>
      </c>
      <c r="AC29" s="69">
        <f t="shared" si="6"/>
        <v>1.1381155528146965</v>
      </c>
      <c r="AE29" s="67">
        <f t="shared" si="7"/>
        <v>1</v>
      </c>
      <c r="AF29" s="67">
        <f t="shared" si="8"/>
        <v>1</v>
      </c>
      <c r="AG29" s="205">
        <f t="shared" si="15"/>
        <v>3</v>
      </c>
      <c r="AH29" s="205">
        <f t="shared" si="16"/>
        <v>5.7142857142857144</v>
      </c>
      <c r="AI29" s="205">
        <f t="shared" si="9"/>
        <v>8</v>
      </c>
      <c r="AJ29" s="205">
        <f t="shared" si="10"/>
        <v>16.666666666666668</v>
      </c>
      <c r="AK29" s="79">
        <f t="shared" si="17"/>
        <v>4.5524622112587858</v>
      </c>
      <c r="AL29" s="79">
        <f t="shared" si="18"/>
        <v>8.6713565928738774</v>
      </c>
      <c r="AM29" s="79">
        <f t="shared" si="11"/>
        <v>12.139899230023429</v>
      </c>
      <c r="AN29" s="79">
        <f t="shared" si="12"/>
        <v>25.291456729215479</v>
      </c>
      <c r="AO29" s="1" t="b">
        <f t="shared" si="3"/>
        <v>0</v>
      </c>
      <c r="AP29" s="1" t="b">
        <f t="shared" si="4"/>
        <v>0</v>
      </c>
      <c r="AQ29" s="1" t="b">
        <f t="shared" si="13"/>
        <v>1</v>
      </c>
      <c r="AR29" s="1" t="b">
        <f t="shared" si="14"/>
        <v>0</v>
      </c>
    </row>
    <row r="30" spans="1:44" s="64" customFormat="1" hidden="1" x14ac:dyDescent="0.2">
      <c r="A30" s="133">
        <f>[9]Sieving!H101</f>
        <v>42563</v>
      </c>
      <c r="B30" s="64" t="s">
        <v>217</v>
      </c>
      <c r="C30" s="87" t="s">
        <v>199</v>
      </c>
      <c r="D30" s="87" t="s">
        <v>280</v>
      </c>
      <c r="E30" s="87">
        <v>5</v>
      </c>
      <c r="F30" s="87" t="s">
        <v>276</v>
      </c>
      <c r="G30" s="67">
        <v>50.566327079091003</v>
      </c>
      <c r="H30" s="68">
        <v>5.2774999999999999</v>
      </c>
      <c r="I30" s="55">
        <v>12.489452407608615</v>
      </c>
      <c r="J30" s="64">
        <f t="shared" si="20"/>
        <v>4.5620655839786167E-2</v>
      </c>
      <c r="K30" s="88"/>
      <c r="M30" s="67"/>
      <c r="N30" s="65"/>
      <c r="O30" s="66"/>
      <c r="T30" s="67" t="s">
        <v>210</v>
      </c>
      <c r="U30" s="67"/>
      <c r="W30" s="81"/>
      <c r="Y30" s="63"/>
      <c r="AB30" s="64">
        <f t="shared" si="5"/>
        <v>1.7817843478798504E-7</v>
      </c>
      <c r="AC30" s="69">
        <f t="shared" si="6"/>
        <v>9.6302147701862323E-2</v>
      </c>
      <c r="AE30" s="67">
        <f t="shared" si="7"/>
        <v>1</v>
      </c>
      <c r="AF30" s="67">
        <f t="shared" si="8"/>
        <v>1</v>
      </c>
      <c r="AG30" s="205">
        <f t="shared" si="15"/>
        <v>3</v>
      </c>
      <c r="AH30" s="205">
        <f t="shared" si="16"/>
        <v>5.7142857142857144</v>
      </c>
      <c r="AI30" s="205">
        <f t="shared" si="9"/>
        <v>8</v>
      </c>
      <c r="AJ30" s="205">
        <f t="shared" si="10"/>
        <v>16.666666666666668</v>
      </c>
      <c r="AK30" s="79">
        <f t="shared" si="17"/>
        <v>0.38520859080744935</v>
      </c>
      <c r="AL30" s="79">
        <f t="shared" si="18"/>
        <v>0.73373064915704633</v>
      </c>
      <c r="AM30" s="79">
        <f t="shared" si="11"/>
        <v>1.0272229088198648</v>
      </c>
      <c r="AN30" s="79">
        <f t="shared" si="12"/>
        <v>2.1400477267080515</v>
      </c>
      <c r="AO30" s="1" t="b">
        <f t="shared" si="3"/>
        <v>0</v>
      </c>
      <c r="AP30" s="1" t="b">
        <f t="shared" si="4"/>
        <v>0</v>
      </c>
      <c r="AQ30" s="1" t="b">
        <f t="shared" si="13"/>
        <v>0</v>
      </c>
      <c r="AR30" s="1" t="b">
        <f t="shared" si="14"/>
        <v>0</v>
      </c>
    </row>
    <row r="31" spans="1:44" s="11" customFormat="1" hidden="1" x14ac:dyDescent="0.2">
      <c r="A31" s="133">
        <f>[9]Sieving!H102</f>
        <v>42563</v>
      </c>
      <c r="B31" s="3" t="s">
        <v>292</v>
      </c>
      <c r="C31" s="52" t="s">
        <v>199</v>
      </c>
      <c r="D31" s="52" t="s">
        <v>280</v>
      </c>
      <c r="E31" s="52" t="s">
        <v>293</v>
      </c>
      <c r="F31" s="52" t="s">
        <v>276</v>
      </c>
      <c r="G31" s="94" t="s">
        <v>375</v>
      </c>
      <c r="H31" s="12"/>
      <c r="I31" s="328">
        <v>12.447688835641301</v>
      </c>
      <c r="K31" s="88"/>
      <c r="M31" s="10"/>
      <c r="N31" s="7"/>
      <c r="O31" s="8"/>
      <c r="T31" s="10"/>
      <c r="U31" s="10"/>
      <c r="W31" s="82" t="s">
        <v>319</v>
      </c>
      <c r="Y31" s="77"/>
      <c r="AB31" s="64" t="e">
        <f t="shared" si="5"/>
        <v>#VALUE!</v>
      </c>
      <c r="AC31" s="69" t="e">
        <f t="shared" si="6"/>
        <v>#VALUE!</v>
      </c>
      <c r="AE31" s="67" t="e">
        <f t="shared" si="7"/>
        <v>#VALUE!</v>
      </c>
      <c r="AF31" s="67" t="e">
        <f t="shared" si="8"/>
        <v>#VALUE!</v>
      </c>
      <c r="AG31" s="205">
        <f t="shared" si="15"/>
        <v>3</v>
      </c>
      <c r="AH31" s="205">
        <f t="shared" si="16"/>
        <v>5.7142857142857144</v>
      </c>
      <c r="AI31" s="205">
        <f t="shared" si="9"/>
        <v>8</v>
      </c>
      <c r="AJ31" s="205">
        <f t="shared" si="10"/>
        <v>16.666666666666668</v>
      </c>
      <c r="AK31" s="79" t="e">
        <f t="shared" si="17"/>
        <v>#VALUE!</v>
      </c>
      <c r="AL31" s="79" t="e">
        <f t="shared" si="18"/>
        <v>#VALUE!</v>
      </c>
      <c r="AM31" s="79" t="e">
        <f t="shared" si="11"/>
        <v>#VALUE!</v>
      </c>
      <c r="AN31" s="79" t="e">
        <f t="shared" si="12"/>
        <v>#VALUE!</v>
      </c>
      <c r="AO31" s="1" t="e">
        <f t="shared" si="3"/>
        <v>#VALUE!</v>
      </c>
      <c r="AP31" s="1" t="e">
        <f t="shared" si="4"/>
        <v>#VALUE!</v>
      </c>
      <c r="AQ31" s="1" t="e">
        <f t="shared" si="13"/>
        <v>#VALUE!</v>
      </c>
      <c r="AR31" s="1" t="e">
        <f t="shared" si="14"/>
        <v>#VALUE!</v>
      </c>
    </row>
    <row r="32" spans="1:44" s="64" customFormat="1" hidden="1" x14ac:dyDescent="0.2">
      <c r="A32" s="133">
        <f>[9]Sieving!H103</f>
        <v>42563</v>
      </c>
      <c r="B32" s="64" t="s">
        <v>259</v>
      </c>
      <c r="C32" s="87" t="s">
        <v>199</v>
      </c>
      <c r="D32" s="87" t="s">
        <v>280</v>
      </c>
      <c r="E32" s="87">
        <v>8</v>
      </c>
      <c r="F32" s="87" t="s">
        <v>276</v>
      </c>
      <c r="G32" s="67">
        <v>335.99782105075599</v>
      </c>
      <c r="H32" s="68">
        <v>5.0308999999999999</v>
      </c>
      <c r="I32" s="55">
        <v>12.237476185139537</v>
      </c>
      <c r="J32" s="64">
        <f t="shared" ref="J32:J73" si="21">G32*$B$3*$B$1/($H32*(1-$I32%))</f>
        <v>0.3170811542959478</v>
      </c>
      <c r="K32" s="88"/>
      <c r="M32" s="67"/>
      <c r="N32" s="65"/>
      <c r="O32" s="66"/>
      <c r="T32" s="67"/>
      <c r="U32" s="67"/>
      <c r="W32" s="81"/>
      <c r="Y32" s="63"/>
      <c r="AB32" s="64">
        <f t="shared" si="5"/>
        <v>1.1839413559414369E-6</v>
      </c>
      <c r="AC32" s="69">
        <f t="shared" si="6"/>
        <v>0.63989839997126174</v>
      </c>
      <c r="AE32" s="67">
        <f t="shared" si="7"/>
        <v>1</v>
      </c>
      <c r="AF32" s="67">
        <f t="shared" si="8"/>
        <v>1</v>
      </c>
      <c r="AG32" s="205">
        <f t="shared" si="15"/>
        <v>3</v>
      </c>
      <c r="AH32" s="205">
        <f t="shared" si="16"/>
        <v>5.7142857142857144</v>
      </c>
      <c r="AI32" s="205">
        <f t="shared" si="9"/>
        <v>8</v>
      </c>
      <c r="AJ32" s="205">
        <f t="shared" si="10"/>
        <v>16.666666666666668</v>
      </c>
      <c r="AK32" s="79">
        <f t="shared" si="17"/>
        <v>2.559593599885047</v>
      </c>
      <c r="AL32" s="79">
        <f t="shared" si="18"/>
        <v>4.875416380733423</v>
      </c>
      <c r="AM32" s="79">
        <f t="shared" si="11"/>
        <v>6.8255829330267916</v>
      </c>
      <c r="AN32" s="79">
        <f t="shared" si="12"/>
        <v>14.219964443805816</v>
      </c>
      <c r="AO32" s="1" t="b">
        <f t="shared" si="3"/>
        <v>0</v>
      </c>
      <c r="AP32" s="1" t="b">
        <f t="shared" si="4"/>
        <v>0</v>
      </c>
      <c r="AQ32" s="1" t="b">
        <f t="shared" si="13"/>
        <v>0</v>
      </c>
      <c r="AR32" s="1" t="b">
        <f t="shared" si="14"/>
        <v>1</v>
      </c>
    </row>
    <row r="33" spans="1:44" hidden="1" x14ac:dyDescent="0.2">
      <c r="A33" s="133">
        <v>42458</v>
      </c>
      <c r="B33" s="1" t="s">
        <v>222</v>
      </c>
      <c r="C33" s="51" t="s">
        <v>200</v>
      </c>
      <c r="D33" s="51" t="s">
        <v>275</v>
      </c>
      <c r="E33" s="51">
        <v>4</v>
      </c>
      <c r="F33" s="51" t="s">
        <v>276</v>
      </c>
      <c r="G33" s="10">
        <v>23.9533163689165</v>
      </c>
      <c r="H33" s="12">
        <v>5.0278999999999998</v>
      </c>
      <c r="I33" s="32">
        <v>19.485312884061894</v>
      </c>
      <c r="J33" s="1">
        <f t="shared" si="21"/>
        <v>2.4654299522121902E-2</v>
      </c>
      <c r="K33" s="88"/>
      <c r="L33" s="1"/>
      <c r="N33" s="7"/>
      <c r="O33" s="10"/>
      <c r="P33" s="1">
        <v>0</v>
      </c>
      <c r="Q33" s="1">
        <v>0</v>
      </c>
      <c r="R33" s="1">
        <v>0</v>
      </c>
      <c r="S33"/>
      <c r="T33" s="9" t="e">
        <v>#VALUE!</v>
      </c>
      <c r="U33" s="9" t="e">
        <f t="shared" ref="U33:U42" si="22">(T33-G33)/T33*100</f>
        <v>#VALUE!</v>
      </c>
      <c r="V33" s="1" t="e">
        <f t="shared" ref="V33:V42" si="23">T33*$B$3*$B$1/($H33*(1-$I33%))</f>
        <v>#VALUE!</v>
      </c>
      <c r="W33" s="58"/>
      <c r="X33" s="1" t="s">
        <v>86</v>
      </c>
      <c r="Y33" s="46" t="s">
        <v>197</v>
      </c>
      <c r="AB33" s="64">
        <f t="shared" si="5"/>
        <v>8.4403290986893755E-8</v>
      </c>
      <c r="AC33" s="69">
        <f t="shared" si="6"/>
        <v>4.5618417317532814E-2</v>
      </c>
      <c r="AE33" s="67">
        <f t="shared" si="7"/>
        <v>1</v>
      </c>
      <c r="AF33" s="67">
        <f t="shared" si="8"/>
        <v>1</v>
      </c>
      <c r="AG33" s="205">
        <f t="shared" si="15"/>
        <v>3</v>
      </c>
      <c r="AH33" s="205">
        <f t="shared" si="16"/>
        <v>5.7142857142857144</v>
      </c>
      <c r="AI33" s="205">
        <f t="shared" si="9"/>
        <v>8</v>
      </c>
      <c r="AJ33" s="205">
        <f t="shared" si="10"/>
        <v>16.666666666666668</v>
      </c>
      <c r="AK33" s="79">
        <f t="shared" si="17"/>
        <v>0.18247366927013128</v>
      </c>
      <c r="AL33" s="79">
        <f t="shared" si="18"/>
        <v>0.3475688938478691</v>
      </c>
      <c r="AM33" s="79">
        <f t="shared" si="11"/>
        <v>0.48659645138701668</v>
      </c>
      <c r="AN33" s="79">
        <f t="shared" si="12"/>
        <v>1.0137426070562847</v>
      </c>
      <c r="AO33" s="1" t="b">
        <f t="shared" si="3"/>
        <v>0</v>
      </c>
      <c r="AP33" s="1" t="b">
        <f t="shared" si="4"/>
        <v>0</v>
      </c>
      <c r="AQ33" s="1" t="b">
        <f t="shared" si="13"/>
        <v>0</v>
      </c>
      <c r="AR33" s="1" t="b">
        <f t="shared" si="14"/>
        <v>0</v>
      </c>
    </row>
    <row r="34" spans="1:44" hidden="1" x14ac:dyDescent="0.2">
      <c r="A34" s="133">
        <v>42458</v>
      </c>
      <c r="B34" s="1" t="s">
        <v>220</v>
      </c>
      <c r="C34" s="51" t="s">
        <v>200</v>
      </c>
      <c r="D34" s="51" t="s">
        <v>275</v>
      </c>
      <c r="E34" s="51">
        <v>5</v>
      </c>
      <c r="F34" s="51" t="s">
        <v>276</v>
      </c>
      <c r="G34" s="10">
        <v>140.883146356948</v>
      </c>
      <c r="H34" s="12">
        <v>5.0396999999999998</v>
      </c>
      <c r="I34" s="32">
        <v>19.63977019007752</v>
      </c>
      <c r="J34" s="1">
        <f t="shared" si="21"/>
        <v>0.14494456847663487</v>
      </c>
      <c r="K34" s="88"/>
      <c r="L34" s="1"/>
      <c r="N34" s="7"/>
      <c r="O34" s="10"/>
      <c r="P34" s="1">
        <v>0</v>
      </c>
      <c r="Q34" s="1">
        <v>0</v>
      </c>
      <c r="R34" s="1">
        <v>0</v>
      </c>
      <c r="S34"/>
      <c r="T34" s="9">
        <v>156.82604547891935</v>
      </c>
      <c r="U34" s="9">
        <f t="shared" si="22"/>
        <v>10.165976622878247</v>
      </c>
      <c r="V34" s="1">
        <f t="shared" si="23"/>
        <v>0.16134707433525486</v>
      </c>
      <c r="W34" s="58"/>
      <c r="X34" s="1" t="s">
        <v>75</v>
      </c>
      <c r="Y34" s="46" t="s">
        <v>195</v>
      </c>
      <c r="AB34" s="64">
        <f t="shared" si="5"/>
        <v>4.9642400300549699E-7</v>
      </c>
      <c r="AC34" s="69">
        <f t="shared" si="6"/>
        <v>0.26830798978041553</v>
      </c>
      <c r="AE34" s="67">
        <f t="shared" si="7"/>
        <v>1</v>
      </c>
      <c r="AF34" s="67">
        <f t="shared" si="8"/>
        <v>1</v>
      </c>
      <c r="AG34" s="205">
        <f t="shared" si="15"/>
        <v>3</v>
      </c>
      <c r="AH34" s="205">
        <f t="shared" si="16"/>
        <v>5.7142857142857144</v>
      </c>
      <c r="AI34" s="205">
        <f t="shared" si="9"/>
        <v>8</v>
      </c>
      <c r="AJ34" s="205">
        <f t="shared" si="10"/>
        <v>16.666666666666668</v>
      </c>
      <c r="AK34" s="79">
        <f t="shared" si="17"/>
        <v>1.0732319591216621</v>
      </c>
      <c r="AL34" s="79">
        <f t="shared" si="18"/>
        <v>2.0442513507079281</v>
      </c>
      <c r="AM34" s="79">
        <f t="shared" si="11"/>
        <v>2.861951890991099</v>
      </c>
      <c r="AN34" s="79">
        <f t="shared" si="12"/>
        <v>5.9623997728981237</v>
      </c>
      <c r="AO34" s="1" t="b">
        <f t="shared" si="3"/>
        <v>0</v>
      </c>
      <c r="AP34" s="1" t="b">
        <f t="shared" si="4"/>
        <v>0</v>
      </c>
      <c r="AQ34" s="1" t="b">
        <f t="shared" si="13"/>
        <v>0</v>
      </c>
      <c r="AR34" s="1" t="b">
        <f t="shared" si="14"/>
        <v>0</v>
      </c>
    </row>
    <row r="35" spans="1:44" hidden="1" x14ac:dyDescent="0.2">
      <c r="A35" s="133">
        <v>42458</v>
      </c>
      <c r="B35" s="1" t="s">
        <v>219</v>
      </c>
      <c r="C35" s="51" t="s">
        <v>200</v>
      </c>
      <c r="D35" s="51" t="s">
        <v>275</v>
      </c>
      <c r="E35" s="51">
        <v>7</v>
      </c>
      <c r="F35" s="51" t="s">
        <v>276</v>
      </c>
      <c r="G35" s="10">
        <v>46.408906611318699</v>
      </c>
      <c r="H35" s="12">
        <v>5.0491999999999999</v>
      </c>
      <c r="I35" s="32">
        <v>17.270098646315216</v>
      </c>
      <c r="J35" s="1">
        <f t="shared" si="21"/>
        <v>4.629190091554726E-2</v>
      </c>
      <c r="K35" s="88"/>
      <c r="L35" s="1"/>
      <c r="N35" s="7"/>
      <c r="O35" s="10"/>
      <c r="P35" s="1">
        <v>0</v>
      </c>
      <c r="Q35" s="1">
        <v>0</v>
      </c>
      <c r="R35" s="1">
        <v>0</v>
      </c>
      <c r="S35"/>
      <c r="T35" s="9">
        <v>127.92969481116299</v>
      </c>
      <c r="U35" s="9">
        <f t="shared" si="22"/>
        <v>63.723116294600025</v>
      </c>
      <c r="V35" s="1">
        <f t="shared" si="23"/>
        <v>0.12760715967633268</v>
      </c>
      <c r="W35" s="58"/>
      <c r="X35" s="1" t="s">
        <v>74</v>
      </c>
      <c r="Y35" s="46" t="s">
        <v>194</v>
      </c>
      <c r="AB35" s="64">
        <f t="shared" si="5"/>
        <v>1.6352910756782582E-7</v>
      </c>
      <c r="AC35" s="69">
        <f t="shared" si="6"/>
        <v>8.838445735191984E-2</v>
      </c>
      <c r="AE35" s="67">
        <f t="shared" si="7"/>
        <v>1</v>
      </c>
      <c r="AF35" s="67">
        <f t="shared" si="8"/>
        <v>1</v>
      </c>
      <c r="AG35" s="205">
        <f t="shared" si="15"/>
        <v>3</v>
      </c>
      <c r="AH35" s="205">
        <f t="shared" si="16"/>
        <v>5.7142857142857144</v>
      </c>
      <c r="AI35" s="205">
        <f t="shared" si="9"/>
        <v>8</v>
      </c>
      <c r="AJ35" s="205">
        <f t="shared" si="10"/>
        <v>16.666666666666668</v>
      </c>
      <c r="AK35" s="79">
        <f t="shared" si="17"/>
        <v>0.35353782940767936</v>
      </c>
      <c r="AL35" s="79">
        <f t="shared" si="18"/>
        <v>0.67340538934796068</v>
      </c>
      <c r="AM35" s="79">
        <f t="shared" si="11"/>
        <v>0.942767545087145</v>
      </c>
      <c r="AN35" s="79">
        <f t="shared" si="12"/>
        <v>1.9640990522648856</v>
      </c>
      <c r="AO35" s="1" t="b">
        <f t="shared" si="3"/>
        <v>0</v>
      </c>
      <c r="AP35" s="1" t="b">
        <f t="shared" si="4"/>
        <v>0</v>
      </c>
      <c r="AQ35" s="1" t="b">
        <f t="shared" si="13"/>
        <v>0</v>
      </c>
      <c r="AR35" s="1" t="b">
        <f t="shared" si="14"/>
        <v>0</v>
      </c>
    </row>
    <row r="36" spans="1:44" hidden="1" x14ac:dyDescent="0.2">
      <c r="A36" s="133">
        <v>42458</v>
      </c>
      <c r="B36" s="1" t="s">
        <v>218</v>
      </c>
      <c r="C36" s="51" t="s">
        <v>200</v>
      </c>
      <c r="D36" s="51" t="s">
        <v>275</v>
      </c>
      <c r="E36" s="51">
        <v>8</v>
      </c>
      <c r="F36" s="51" t="s">
        <v>276</v>
      </c>
      <c r="G36" s="39">
        <v>50.195766797454098</v>
      </c>
      <c r="H36" s="12">
        <v>5.0591999999999997</v>
      </c>
      <c r="I36" s="32">
        <v>22.985736848433888</v>
      </c>
      <c r="J36" s="1">
        <f t="shared" si="21"/>
        <v>5.3678804929856064E-2</v>
      </c>
      <c r="K36" s="88"/>
      <c r="L36" s="1"/>
      <c r="M36" s="9" t="s">
        <v>274</v>
      </c>
      <c r="N36" s="7">
        <v>1397.0566134775199</v>
      </c>
      <c r="O36" s="10"/>
      <c r="P36" s="1" t="e">
        <v>#VALUE!</v>
      </c>
      <c r="Q36" s="1">
        <v>1.4939970881096032</v>
      </c>
      <c r="R36" s="1">
        <v>0</v>
      </c>
      <c r="S36"/>
      <c r="T36" s="9">
        <v>368.01137650586372</v>
      </c>
      <c r="U36" s="9">
        <f t="shared" si="22"/>
        <v>86.360267643341643</v>
      </c>
      <c r="V36" s="1">
        <f t="shared" si="23"/>
        <v>0.39354734775020928</v>
      </c>
      <c r="W36" s="58"/>
      <c r="X36" s="1" t="s">
        <v>73</v>
      </c>
      <c r="Y36" s="46" t="s">
        <v>193</v>
      </c>
      <c r="AB36" s="64">
        <f t="shared" si="5"/>
        <v>1.7687270714687344E-7</v>
      </c>
      <c r="AC36" s="69">
        <f t="shared" si="6"/>
        <v>9.5596426067802859E-2</v>
      </c>
      <c r="AE36" s="67">
        <f t="shared" si="7"/>
        <v>1</v>
      </c>
      <c r="AF36" s="67">
        <f t="shared" si="8"/>
        <v>1</v>
      </c>
      <c r="AG36" s="205">
        <f t="shared" si="15"/>
        <v>3</v>
      </c>
      <c r="AH36" s="205">
        <f t="shared" si="16"/>
        <v>5.7142857142857144</v>
      </c>
      <c r="AI36" s="205">
        <f t="shared" si="9"/>
        <v>8</v>
      </c>
      <c r="AJ36" s="205">
        <f t="shared" si="10"/>
        <v>16.666666666666668</v>
      </c>
      <c r="AK36" s="79">
        <f t="shared" si="17"/>
        <v>0.38238570427121149</v>
      </c>
      <c r="AL36" s="79">
        <f t="shared" si="18"/>
        <v>0.7283537224213551</v>
      </c>
      <c r="AM36" s="79">
        <f t="shared" si="11"/>
        <v>1.0196952113898972</v>
      </c>
      <c r="AN36" s="79">
        <f t="shared" si="12"/>
        <v>2.1243650237289526</v>
      </c>
      <c r="AO36" s="1" t="b">
        <f t="shared" si="3"/>
        <v>0</v>
      </c>
      <c r="AP36" s="1" t="b">
        <f t="shared" si="4"/>
        <v>0</v>
      </c>
      <c r="AQ36" s="1" t="b">
        <f t="shared" si="13"/>
        <v>0</v>
      </c>
      <c r="AR36" s="1" t="b">
        <f t="shared" si="14"/>
        <v>0</v>
      </c>
    </row>
    <row r="37" spans="1:44" hidden="1" x14ac:dyDescent="0.2">
      <c r="A37" s="133">
        <v>42458</v>
      </c>
      <c r="B37" s="1" t="s">
        <v>223</v>
      </c>
      <c r="C37" s="51" t="s">
        <v>200</v>
      </c>
      <c r="D37" s="51" t="s">
        <v>275</v>
      </c>
      <c r="E37" s="51">
        <v>9</v>
      </c>
      <c r="F37" s="51" t="s">
        <v>276</v>
      </c>
      <c r="G37" s="10">
        <v>5093.8169494153099</v>
      </c>
      <c r="H37" s="12">
        <v>5.0225</v>
      </c>
      <c r="I37" s="32">
        <v>20.079732888146939</v>
      </c>
      <c r="J37" s="1">
        <f t="shared" si="21"/>
        <v>5.2875589260151497</v>
      </c>
      <c r="K37" s="88"/>
      <c r="L37" s="1"/>
      <c r="N37" s="7"/>
      <c r="O37" s="10"/>
      <c r="P37" s="1">
        <v>0</v>
      </c>
      <c r="Q37" s="1">
        <v>0</v>
      </c>
      <c r="R37" s="1">
        <v>0</v>
      </c>
      <c r="S37"/>
      <c r="T37" s="9">
        <v>25791.094469135794</v>
      </c>
      <c r="U37" s="9">
        <f t="shared" si="22"/>
        <v>80.249706132048473</v>
      </c>
      <c r="V37" s="1">
        <f t="shared" si="23"/>
        <v>26.772051906504469</v>
      </c>
      <c r="W37" s="58"/>
      <c r="X37" s="1" t="s">
        <v>77</v>
      </c>
      <c r="Y37" s="46" t="s">
        <v>198</v>
      </c>
      <c r="AB37" s="64">
        <f t="shared" si="5"/>
        <v>1.794886802285906E-5</v>
      </c>
      <c r="AC37" s="69">
        <f t="shared" si="6"/>
        <v>9.7010311122968993</v>
      </c>
      <c r="AE37" s="67" t="b">
        <f t="shared" si="7"/>
        <v>0</v>
      </c>
      <c r="AF37" s="67">
        <f t="shared" si="8"/>
        <v>1</v>
      </c>
      <c r="AG37" s="205">
        <f t="shared" si="15"/>
        <v>3</v>
      </c>
      <c r="AH37" s="205">
        <f t="shared" si="16"/>
        <v>5.7142857142857144</v>
      </c>
      <c r="AI37" s="205">
        <f t="shared" si="9"/>
        <v>8</v>
      </c>
      <c r="AJ37" s="205">
        <f t="shared" si="10"/>
        <v>16.666666666666668</v>
      </c>
      <c r="AK37" s="79">
        <f t="shared" si="17"/>
        <v>38.804124449187597</v>
      </c>
      <c r="AL37" s="79">
        <f t="shared" si="18"/>
        <v>73.912617998452575</v>
      </c>
      <c r="AM37" s="79">
        <f t="shared" si="11"/>
        <v>103.47766519783359</v>
      </c>
      <c r="AN37" s="79">
        <f t="shared" si="12"/>
        <v>215.57846916215331</v>
      </c>
      <c r="AO37" s="1" t="b">
        <f t="shared" si="3"/>
        <v>1</v>
      </c>
      <c r="AP37" s="1" t="b">
        <f t="shared" si="4"/>
        <v>0</v>
      </c>
      <c r="AQ37" s="1" t="b">
        <f t="shared" si="13"/>
        <v>0</v>
      </c>
      <c r="AR37" s="1" t="b">
        <f t="shared" si="14"/>
        <v>0</v>
      </c>
    </row>
    <row r="38" spans="1:44" hidden="1" x14ac:dyDescent="0.2">
      <c r="A38" s="133">
        <v>42458</v>
      </c>
      <c r="B38" s="1" t="s">
        <v>221</v>
      </c>
      <c r="C38" s="51" t="s">
        <v>200</v>
      </c>
      <c r="D38" s="51" t="s">
        <v>275</v>
      </c>
      <c r="E38" s="51">
        <v>10</v>
      </c>
      <c r="F38" s="51" t="s">
        <v>276</v>
      </c>
      <c r="G38" s="10">
        <v>47.015623484843999</v>
      </c>
      <c r="H38" s="12">
        <v>5.0088999999999997</v>
      </c>
      <c r="I38" s="32">
        <v>18.938674803903112</v>
      </c>
      <c r="J38" s="1">
        <f t="shared" si="21"/>
        <v>4.8247509176049606E-2</v>
      </c>
      <c r="K38" s="88"/>
      <c r="L38" s="1"/>
      <c r="N38" s="7"/>
      <c r="O38" s="10"/>
      <c r="P38" s="1">
        <v>0</v>
      </c>
      <c r="Q38" s="1">
        <v>0</v>
      </c>
      <c r="R38" s="1">
        <v>0</v>
      </c>
      <c r="S38"/>
      <c r="T38" s="9">
        <v>425.9249174759413</v>
      </c>
      <c r="U38" s="9">
        <f t="shared" si="22"/>
        <v>88.961523133358426</v>
      </c>
      <c r="V38" s="1">
        <f t="shared" si="23"/>
        <v>0.43708484203879822</v>
      </c>
      <c r="W38" s="58"/>
      <c r="X38" s="1" t="s">
        <v>76</v>
      </c>
      <c r="Y38" s="46" t="s">
        <v>196</v>
      </c>
      <c r="AB38" s="64">
        <f t="shared" si="5"/>
        <v>1.6566697023511254E-7</v>
      </c>
      <c r="AC38" s="69">
        <f t="shared" si="6"/>
        <v>8.9539932573128991E-2</v>
      </c>
      <c r="AE38" s="67">
        <f t="shared" si="7"/>
        <v>1</v>
      </c>
      <c r="AF38" s="67">
        <f t="shared" si="8"/>
        <v>1</v>
      </c>
      <c r="AG38" s="205">
        <f t="shared" si="15"/>
        <v>3</v>
      </c>
      <c r="AH38" s="205">
        <f t="shared" si="16"/>
        <v>5.7142857142857144</v>
      </c>
      <c r="AI38" s="205">
        <f t="shared" si="9"/>
        <v>8</v>
      </c>
      <c r="AJ38" s="205">
        <f t="shared" si="10"/>
        <v>16.666666666666668</v>
      </c>
      <c r="AK38" s="79">
        <f t="shared" si="17"/>
        <v>0.35815973029251597</v>
      </c>
      <c r="AL38" s="79">
        <f t="shared" si="18"/>
        <v>0.68220901008098289</v>
      </c>
      <c r="AM38" s="79">
        <f t="shared" si="11"/>
        <v>0.95509261411337587</v>
      </c>
      <c r="AN38" s="79">
        <f t="shared" si="12"/>
        <v>1.9897762794028668</v>
      </c>
      <c r="AO38" s="1" t="b">
        <f t="shared" si="3"/>
        <v>0</v>
      </c>
      <c r="AP38" s="1" t="b">
        <f t="shared" si="4"/>
        <v>0</v>
      </c>
      <c r="AQ38" s="1" t="b">
        <f t="shared" si="13"/>
        <v>0</v>
      </c>
      <c r="AR38" s="1" t="b">
        <f t="shared" si="14"/>
        <v>0</v>
      </c>
    </row>
    <row r="39" spans="1:44" hidden="1" x14ac:dyDescent="0.2">
      <c r="A39" s="133">
        <v>42474</v>
      </c>
      <c r="B39" s="1" t="s">
        <v>78</v>
      </c>
      <c r="C39" s="51" t="s">
        <v>200</v>
      </c>
      <c r="D39" s="51" t="s">
        <v>278</v>
      </c>
      <c r="E39" s="51">
        <v>4</v>
      </c>
      <c r="F39" s="51" t="s">
        <v>276</v>
      </c>
      <c r="G39" s="10">
        <v>11935.6451987275</v>
      </c>
      <c r="H39" s="12">
        <v>5.0140000000000002</v>
      </c>
      <c r="I39" s="32">
        <v>21.835266665662466</v>
      </c>
      <c r="J39" s="1">
        <f t="shared" si="21"/>
        <v>12.689352984206868</v>
      </c>
      <c r="K39" s="88"/>
      <c r="L39" s="1"/>
      <c r="N39" s="7"/>
      <c r="O39" s="10"/>
      <c r="P39" s="1">
        <v>0</v>
      </c>
      <c r="Q39" s="1">
        <v>0</v>
      </c>
      <c r="R39" s="1">
        <v>0</v>
      </c>
      <c r="S39"/>
      <c r="T39" s="9">
        <v>51721.782447843994</v>
      </c>
      <c r="U39" s="9">
        <f t="shared" si="22"/>
        <v>76.923368387848285</v>
      </c>
      <c r="V39" s="1">
        <f t="shared" si="23"/>
        <v>54.987890769660261</v>
      </c>
      <c r="W39" s="58"/>
      <c r="X39" s="1" t="s">
        <v>78</v>
      </c>
      <c r="Y39" s="46"/>
      <c r="AB39" s="64">
        <f t="shared" si="5"/>
        <v>4.2057129764787031E-5</v>
      </c>
      <c r="AC39" s="69">
        <f t="shared" si="6"/>
        <v>22.731100580966736</v>
      </c>
      <c r="AE39" s="67" t="b">
        <f t="shared" si="7"/>
        <v>0</v>
      </c>
      <c r="AF39" s="67" t="b">
        <f t="shared" si="8"/>
        <v>0</v>
      </c>
      <c r="AG39" s="205">
        <f t="shared" si="15"/>
        <v>3</v>
      </c>
      <c r="AH39" s="205">
        <f t="shared" si="16"/>
        <v>5.7142857142857144</v>
      </c>
      <c r="AI39" s="205">
        <f t="shared" si="9"/>
        <v>8</v>
      </c>
      <c r="AJ39" s="205">
        <f t="shared" si="10"/>
        <v>16.666666666666668</v>
      </c>
      <c r="AK39" s="79">
        <f t="shared" si="17"/>
        <v>90.924402323866943</v>
      </c>
      <c r="AL39" s="79">
        <f t="shared" si="18"/>
        <v>173.18933775974656</v>
      </c>
      <c r="AM39" s="79">
        <f t="shared" si="11"/>
        <v>242.46507286364519</v>
      </c>
      <c r="AN39" s="79">
        <f t="shared" si="12"/>
        <v>505.13556846592746</v>
      </c>
      <c r="AO39" s="1" t="b">
        <f t="shared" si="3"/>
        <v>0</v>
      </c>
      <c r="AP39" s="1" t="b">
        <f t="shared" si="4"/>
        <v>0</v>
      </c>
      <c r="AQ39" s="1" t="b">
        <f t="shared" si="13"/>
        <v>0</v>
      </c>
      <c r="AR39" s="1" t="b">
        <f t="shared" si="14"/>
        <v>0</v>
      </c>
    </row>
    <row r="40" spans="1:44" hidden="1" x14ac:dyDescent="0.2">
      <c r="A40" s="134">
        <v>42507</v>
      </c>
      <c r="B40" s="3" t="s">
        <v>87</v>
      </c>
      <c r="C40" s="52" t="s">
        <v>200</v>
      </c>
      <c r="D40" s="52" t="s">
        <v>278</v>
      </c>
      <c r="E40" s="52">
        <v>5</v>
      </c>
      <c r="F40" s="52" t="s">
        <v>276</v>
      </c>
      <c r="G40" s="10">
        <v>36.794952710423701</v>
      </c>
      <c r="H40" s="12">
        <v>5.0148000000000001</v>
      </c>
      <c r="I40" s="32">
        <v>33.769291171891304</v>
      </c>
      <c r="J40" s="1">
        <f t="shared" si="21"/>
        <v>4.6159807299304488E-2</v>
      </c>
      <c r="K40" s="88"/>
      <c r="L40" s="1"/>
      <c r="N40" s="7"/>
      <c r="O40" s="10"/>
      <c r="P40" s="1">
        <v>0</v>
      </c>
      <c r="Q40" s="1">
        <v>0</v>
      </c>
      <c r="R40" s="1">
        <v>0</v>
      </c>
      <c r="S40"/>
      <c r="T40" s="74">
        <v>72.085464034525472</v>
      </c>
      <c r="U40" s="9">
        <f t="shared" si="22"/>
        <v>48.95648768689248</v>
      </c>
      <c r="V40" s="1">
        <f t="shared" si="23"/>
        <v>9.0432270836211748E-2</v>
      </c>
      <c r="W40" s="58"/>
      <c r="X40" s="3" t="s">
        <v>87</v>
      </c>
      <c r="Y40" s="46"/>
      <c r="AB40" s="64">
        <f t="shared" si="5"/>
        <v>1.2965282354375573E-7</v>
      </c>
      <c r="AC40" s="69">
        <f t="shared" si="6"/>
        <v>7.0074952548164413E-2</v>
      </c>
      <c r="AE40" s="67">
        <f t="shared" si="7"/>
        <v>1</v>
      </c>
      <c r="AF40" s="67">
        <f t="shared" si="8"/>
        <v>1</v>
      </c>
      <c r="AG40" s="205">
        <f t="shared" si="15"/>
        <v>3</v>
      </c>
      <c r="AH40" s="205">
        <f t="shared" si="16"/>
        <v>5.7142857142857144</v>
      </c>
      <c r="AI40" s="205">
        <f t="shared" si="9"/>
        <v>8</v>
      </c>
      <c r="AJ40" s="205">
        <f t="shared" si="10"/>
        <v>16.666666666666668</v>
      </c>
      <c r="AK40" s="79">
        <f t="shared" si="17"/>
        <v>0.28029981019265765</v>
      </c>
      <c r="AL40" s="79">
        <f t="shared" si="18"/>
        <v>0.53390440036696696</v>
      </c>
      <c r="AM40" s="79">
        <f t="shared" si="11"/>
        <v>0.7474661605137537</v>
      </c>
      <c r="AN40" s="79">
        <f t="shared" si="12"/>
        <v>1.5572211677369872</v>
      </c>
      <c r="AO40" s="1" t="b">
        <f t="shared" ref="AO40:AO73" si="24">AND(AC40&lt;10,AK40&gt;10)</f>
        <v>0</v>
      </c>
      <c r="AP40" s="1" t="b">
        <f t="shared" ref="AP40:AP71" si="25">AND(AC40&lt;10,AL40&gt;10,AO40=FALSE)</f>
        <v>0</v>
      </c>
      <c r="AQ40" s="1" t="b">
        <f t="shared" si="13"/>
        <v>0</v>
      </c>
      <c r="AR40" s="1" t="b">
        <f t="shared" si="14"/>
        <v>0</v>
      </c>
    </row>
    <row r="41" spans="1:44" hidden="1" x14ac:dyDescent="0.2">
      <c r="A41" s="133">
        <v>42474</v>
      </c>
      <c r="B41" s="1" t="s">
        <v>252</v>
      </c>
      <c r="C41" s="51" t="s">
        <v>200</v>
      </c>
      <c r="D41" s="51" t="s">
        <v>278</v>
      </c>
      <c r="E41" s="51">
        <v>7</v>
      </c>
      <c r="F41" s="51" t="s">
        <v>276</v>
      </c>
      <c r="G41" s="10">
        <v>8665.3040764134203</v>
      </c>
      <c r="H41" s="12">
        <v>5.0839999999999996</v>
      </c>
      <c r="I41" s="32">
        <v>20.693038113506994</v>
      </c>
      <c r="J41" s="1">
        <f t="shared" si="21"/>
        <v>8.954796287550792</v>
      </c>
      <c r="K41" s="88"/>
      <c r="L41" s="1"/>
      <c r="N41" s="7"/>
      <c r="O41" s="10"/>
      <c r="P41" s="1">
        <v>0</v>
      </c>
      <c r="Q41" s="1">
        <v>0</v>
      </c>
      <c r="R41" s="1">
        <v>0</v>
      </c>
      <c r="S41"/>
      <c r="T41" s="9">
        <v>46003.278717924142</v>
      </c>
      <c r="U41" s="9">
        <f t="shared" si="22"/>
        <v>81.163725025892163</v>
      </c>
      <c r="V41" s="1">
        <f t="shared" si="23"/>
        <v>47.54016545128998</v>
      </c>
      <c r="W41" s="58"/>
      <c r="X41" s="1" t="s">
        <v>79</v>
      </c>
      <c r="Y41" s="46"/>
      <c r="AB41" s="64">
        <f t="shared" si="5"/>
        <v>3.0533566633826483E-5</v>
      </c>
      <c r="AC41" s="69">
        <f t="shared" si="6"/>
        <v>16.50282789460049</v>
      </c>
      <c r="AE41" s="67" t="b">
        <f t="shared" si="7"/>
        <v>0</v>
      </c>
      <c r="AF41" s="67" t="b">
        <f t="shared" si="8"/>
        <v>0</v>
      </c>
      <c r="AG41" s="205">
        <f t="shared" si="15"/>
        <v>3</v>
      </c>
      <c r="AH41" s="205">
        <f t="shared" si="16"/>
        <v>5.7142857142857144</v>
      </c>
      <c r="AI41" s="205">
        <f t="shared" si="9"/>
        <v>8</v>
      </c>
      <c r="AJ41" s="205">
        <f t="shared" si="10"/>
        <v>16.666666666666668</v>
      </c>
      <c r="AK41" s="79">
        <f t="shared" si="17"/>
        <v>66.011311578401958</v>
      </c>
      <c r="AL41" s="79">
        <f t="shared" si="18"/>
        <v>125.73583157790848</v>
      </c>
      <c r="AM41" s="79">
        <f t="shared" si="11"/>
        <v>176.0301642090719</v>
      </c>
      <c r="AN41" s="79">
        <f t="shared" si="12"/>
        <v>366.72950876889985</v>
      </c>
      <c r="AO41" s="1" t="b">
        <f t="shared" si="24"/>
        <v>0</v>
      </c>
      <c r="AP41" s="1" t="b">
        <f t="shared" si="25"/>
        <v>0</v>
      </c>
      <c r="AQ41" s="1" t="b">
        <f t="shared" si="13"/>
        <v>0</v>
      </c>
      <c r="AR41" s="1" t="b">
        <f t="shared" si="14"/>
        <v>0</v>
      </c>
    </row>
    <row r="42" spans="1:44" hidden="1" x14ac:dyDescent="0.2">
      <c r="A42" s="133">
        <v>42474</v>
      </c>
      <c r="B42" s="1" t="s">
        <v>80</v>
      </c>
      <c r="C42" s="51" t="s">
        <v>200</v>
      </c>
      <c r="D42" s="51" t="s">
        <v>278</v>
      </c>
      <c r="E42" s="51">
        <v>8</v>
      </c>
      <c r="F42" s="51" t="s">
        <v>276</v>
      </c>
      <c r="G42" s="10">
        <v>8728.1249758080394</v>
      </c>
      <c r="H42" s="12">
        <v>5.0179</v>
      </c>
      <c r="I42" s="32">
        <v>24.14190057750239</v>
      </c>
      <c r="J42" s="1">
        <f t="shared" si="21"/>
        <v>9.554011391778074</v>
      </c>
      <c r="K42" s="88"/>
      <c r="L42" s="1"/>
      <c r="N42" s="7"/>
      <c r="O42" s="10"/>
      <c r="P42" s="1">
        <v>0</v>
      </c>
      <c r="Q42" s="1">
        <v>0</v>
      </c>
      <c r="R42" s="1">
        <v>0</v>
      </c>
      <c r="S42"/>
      <c r="T42" s="9">
        <v>36223.728213405659</v>
      </c>
      <c r="U42" s="9">
        <f t="shared" si="22"/>
        <v>75.904951239729272</v>
      </c>
      <c r="V42" s="1">
        <f t="shared" si="23"/>
        <v>39.651346991798846</v>
      </c>
      <c r="W42" s="58"/>
      <c r="X42" s="1" t="s">
        <v>80</v>
      </c>
      <c r="Y42" s="46"/>
      <c r="AB42" s="64">
        <f t="shared" si="5"/>
        <v>3.0754925988414355E-5</v>
      </c>
      <c r="AC42" s="69">
        <f t="shared" si="6"/>
        <v>16.622468530607172</v>
      </c>
      <c r="AE42" s="67" t="b">
        <f t="shared" si="7"/>
        <v>0</v>
      </c>
      <c r="AF42" s="67" t="b">
        <f t="shared" si="8"/>
        <v>0</v>
      </c>
      <c r="AG42" s="205">
        <f t="shared" si="15"/>
        <v>3</v>
      </c>
      <c r="AH42" s="205">
        <f t="shared" si="16"/>
        <v>5.7142857142857144</v>
      </c>
      <c r="AI42" s="205">
        <f t="shared" si="9"/>
        <v>8</v>
      </c>
      <c r="AJ42" s="205">
        <f t="shared" si="10"/>
        <v>16.666666666666668</v>
      </c>
      <c r="AK42" s="79">
        <f t="shared" si="17"/>
        <v>66.489874122428688</v>
      </c>
      <c r="AL42" s="79">
        <f t="shared" si="18"/>
        <v>126.64737928081655</v>
      </c>
      <c r="AM42" s="79">
        <f t="shared" si="11"/>
        <v>177.30633099314318</v>
      </c>
      <c r="AN42" s="79">
        <f t="shared" si="12"/>
        <v>369.38818956904828</v>
      </c>
      <c r="AO42" s="1" t="b">
        <f t="shared" si="24"/>
        <v>0</v>
      </c>
      <c r="AP42" s="1" t="b">
        <f t="shared" si="25"/>
        <v>0</v>
      </c>
      <c r="AQ42" s="1" t="b">
        <f t="shared" si="13"/>
        <v>0</v>
      </c>
      <c r="AR42" s="1" t="b">
        <f t="shared" si="14"/>
        <v>0</v>
      </c>
    </row>
    <row r="43" spans="1:44" s="64" customFormat="1" hidden="1" x14ac:dyDescent="0.2">
      <c r="A43" s="133">
        <f>[9]Sieving!$H$130</f>
        <v>42542</v>
      </c>
      <c r="B43" s="64" t="s">
        <v>255</v>
      </c>
      <c r="C43" s="87" t="s">
        <v>200</v>
      </c>
      <c r="D43" s="87" t="s">
        <v>281</v>
      </c>
      <c r="E43" s="87">
        <v>9</v>
      </c>
      <c r="F43" s="87" t="s">
        <v>276</v>
      </c>
      <c r="G43" s="67">
        <v>755.94233988518795</v>
      </c>
      <c r="H43" s="68">
        <v>5.4324000000000003</v>
      </c>
      <c r="I43" s="96">
        <v>31.018739106047537</v>
      </c>
      <c r="J43" s="64">
        <f t="shared" si="21"/>
        <v>0.84053259551128967</v>
      </c>
      <c r="K43" s="88"/>
      <c r="M43" s="67"/>
      <c r="N43" s="65"/>
      <c r="O43" s="67"/>
      <c r="T43" s="67" t="s">
        <v>210</v>
      </c>
      <c r="U43" s="67"/>
      <c r="W43" s="81"/>
      <c r="Y43" s="63"/>
      <c r="AB43" s="64">
        <f t="shared" si="5"/>
        <v>2.6636821515637569E-6</v>
      </c>
      <c r="AC43" s="69">
        <f t="shared" si="6"/>
        <v>1.4396709248004069</v>
      </c>
      <c r="AE43" s="67">
        <f t="shared" si="7"/>
        <v>1</v>
      </c>
      <c r="AF43" s="67">
        <f t="shared" si="8"/>
        <v>1</v>
      </c>
      <c r="AG43" s="205">
        <f t="shared" si="15"/>
        <v>3</v>
      </c>
      <c r="AH43" s="205">
        <f t="shared" si="16"/>
        <v>5.7142857142857144</v>
      </c>
      <c r="AI43" s="205">
        <f t="shared" si="9"/>
        <v>8</v>
      </c>
      <c r="AJ43" s="205">
        <f t="shared" si="10"/>
        <v>16.666666666666668</v>
      </c>
      <c r="AK43" s="79">
        <f t="shared" si="17"/>
        <v>5.7586836992016286</v>
      </c>
      <c r="AL43" s="79">
        <f t="shared" si="18"/>
        <v>10.968921331812624</v>
      </c>
      <c r="AM43" s="79">
        <f t="shared" si="11"/>
        <v>15.356489864537673</v>
      </c>
      <c r="AN43" s="79">
        <f t="shared" si="12"/>
        <v>31.992687217786823</v>
      </c>
      <c r="AO43" s="1" t="b">
        <f t="shared" si="24"/>
        <v>0</v>
      </c>
      <c r="AP43" s="1" t="b">
        <f t="shared" si="25"/>
        <v>1</v>
      </c>
      <c r="AQ43" s="1" t="b">
        <f t="shared" si="13"/>
        <v>0</v>
      </c>
      <c r="AR43" s="1" t="b">
        <f t="shared" si="14"/>
        <v>0</v>
      </c>
    </row>
    <row r="44" spans="1:44" s="64" customFormat="1" hidden="1" x14ac:dyDescent="0.2">
      <c r="A44" s="133">
        <f>[9]Sieving!$H$131</f>
        <v>42542</v>
      </c>
      <c r="B44" s="64" t="s">
        <v>272</v>
      </c>
      <c r="C44" s="87" t="s">
        <v>200</v>
      </c>
      <c r="D44" s="87" t="s">
        <v>281</v>
      </c>
      <c r="E44" s="87">
        <v>10</v>
      </c>
      <c r="F44" s="87" t="s">
        <v>276</v>
      </c>
      <c r="G44" s="76">
        <v>1286.7723443376765</v>
      </c>
      <c r="H44" s="68">
        <v>5.0891999999999999</v>
      </c>
      <c r="I44" s="96">
        <v>29.451171726875131</v>
      </c>
      <c r="J44" s="64">
        <f t="shared" si="21"/>
        <v>1.4933140563512084</v>
      </c>
      <c r="K44" s="88">
        <f t="shared" si="19"/>
        <v>8.254193420842609E-3</v>
      </c>
      <c r="M44" s="67">
        <v>1287.5752668378</v>
      </c>
      <c r="N44" s="65">
        <v>1279.2924069220801</v>
      </c>
      <c r="O44" s="67">
        <v>1293.4493592531501</v>
      </c>
      <c r="P44" s="64">
        <v>1.4942458571167991</v>
      </c>
      <c r="Q44" s="64">
        <v>1.4846335032351192</v>
      </c>
      <c r="R44" s="64">
        <v>1.5010628087017073</v>
      </c>
      <c r="T44" s="67">
        <v>70.13346489951283</v>
      </c>
      <c r="U44" s="67">
        <f t="shared" ref="U44" si="26">(T44-G44)/T44*100</f>
        <v>-1734.7479996623051</v>
      </c>
      <c r="V44" s="64">
        <f>T44*$B$3*$B$1/($H44*(1-$I44%))</f>
        <v>8.1390689981733766E-2</v>
      </c>
      <c r="W44" s="81"/>
      <c r="Y44" s="63"/>
      <c r="AB44" s="64">
        <f t="shared" si="5"/>
        <v>4.5341454577854396E-6</v>
      </c>
      <c r="AC44" s="69">
        <f t="shared" si="6"/>
        <v>2.4506217382420612</v>
      </c>
      <c r="AE44" s="67">
        <f t="shared" si="7"/>
        <v>1</v>
      </c>
      <c r="AF44" s="67">
        <f t="shared" si="8"/>
        <v>1</v>
      </c>
      <c r="AG44" s="205">
        <f t="shared" si="15"/>
        <v>3</v>
      </c>
      <c r="AH44" s="205">
        <f t="shared" si="16"/>
        <v>5.7142857142857144</v>
      </c>
      <c r="AI44" s="205">
        <f t="shared" si="9"/>
        <v>8</v>
      </c>
      <c r="AJ44" s="205">
        <f t="shared" si="10"/>
        <v>16.666666666666668</v>
      </c>
      <c r="AK44" s="79">
        <f t="shared" si="17"/>
        <v>9.8024869529682448</v>
      </c>
      <c r="AL44" s="79">
        <f t="shared" si="18"/>
        <v>18.671403719939516</v>
      </c>
      <c r="AM44" s="79">
        <f t="shared" si="11"/>
        <v>26.139965207915321</v>
      </c>
      <c r="AN44" s="79">
        <f t="shared" si="12"/>
        <v>54.458260849823581</v>
      </c>
      <c r="AO44" s="1" t="b">
        <f t="shared" si="24"/>
        <v>0</v>
      </c>
      <c r="AP44" s="1" t="b">
        <f t="shared" si="25"/>
        <v>1</v>
      </c>
      <c r="AQ44" s="1" t="b">
        <f t="shared" si="13"/>
        <v>0</v>
      </c>
      <c r="AR44" s="1" t="b">
        <f t="shared" si="14"/>
        <v>0</v>
      </c>
    </row>
    <row r="45" spans="1:44" s="64" customFormat="1" hidden="1" x14ac:dyDescent="0.2">
      <c r="A45" s="133">
        <v>42521</v>
      </c>
      <c r="B45" s="64" t="s">
        <v>250</v>
      </c>
      <c r="C45" s="87" t="s">
        <v>200</v>
      </c>
      <c r="D45" s="87" t="s">
        <v>279</v>
      </c>
      <c r="E45" s="87">
        <v>4</v>
      </c>
      <c r="F45" s="87" t="s">
        <v>276</v>
      </c>
      <c r="G45" s="67">
        <v>1808.53023558257</v>
      </c>
      <c r="H45" s="68">
        <v>5.0506000000000002</v>
      </c>
      <c r="I45" s="96">
        <v>31.656072993823265</v>
      </c>
      <c r="J45" s="64">
        <f t="shared" si="21"/>
        <v>2.1830899392775001</v>
      </c>
      <c r="K45" s="88"/>
      <c r="M45" s="67"/>
      <c r="N45" s="65"/>
      <c r="O45" s="67"/>
      <c r="T45" s="67" t="s">
        <v>210</v>
      </c>
      <c r="U45" s="67"/>
      <c r="W45" s="81"/>
      <c r="Y45" s="63"/>
      <c r="AB45" s="64">
        <f t="shared" si="5"/>
        <v>6.3726417411893401E-6</v>
      </c>
      <c r="AC45" s="69">
        <f t="shared" si="6"/>
        <v>3.444294967240626</v>
      </c>
      <c r="AE45" s="67" t="b">
        <f t="shared" si="7"/>
        <v>0</v>
      </c>
      <c r="AF45" s="67">
        <f t="shared" si="8"/>
        <v>1</v>
      </c>
      <c r="AG45" s="205">
        <f t="shared" si="15"/>
        <v>3</v>
      </c>
      <c r="AH45" s="205">
        <f t="shared" si="16"/>
        <v>5.7142857142857144</v>
      </c>
      <c r="AI45" s="205">
        <f t="shared" si="9"/>
        <v>8</v>
      </c>
      <c r="AJ45" s="205">
        <f t="shared" si="10"/>
        <v>16.666666666666668</v>
      </c>
      <c r="AK45" s="79">
        <f t="shared" si="17"/>
        <v>13.777179868962504</v>
      </c>
      <c r="AL45" s="79">
        <f t="shared" si="18"/>
        <v>26.242247369452389</v>
      </c>
      <c r="AM45" s="79">
        <f t="shared" si="11"/>
        <v>36.739146317233342</v>
      </c>
      <c r="AN45" s="79">
        <f t="shared" si="12"/>
        <v>76.539888160902805</v>
      </c>
      <c r="AO45" s="1" t="b">
        <f t="shared" si="24"/>
        <v>1</v>
      </c>
      <c r="AP45" s="1" t="b">
        <f t="shared" si="25"/>
        <v>0</v>
      </c>
      <c r="AQ45" s="1" t="b">
        <f t="shared" si="13"/>
        <v>0</v>
      </c>
      <c r="AR45" s="1" t="b">
        <f t="shared" si="14"/>
        <v>0</v>
      </c>
    </row>
    <row r="46" spans="1:44" s="64" customFormat="1" hidden="1" x14ac:dyDescent="0.2">
      <c r="A46" s="135">
        <v>42535</v>
      </c>
      <c r="B46" s="64" t="s">
        <v>239</v>
      </c>
      <c r="C46" s="87" t="s">
        <v>200</v>
      </c>
      <c r="D46" s="87" t="s">
        <v>279</v>
      </c>
      <c r="E46" s="87">
        <v>5</v>
      </c>
      <c r="F46" s="87" t="s">
        <v>276</v>
      </c>
      <c r="G46" s="67">
        <v>100.223059677558</v>
      </c>
      <c r="H46" s="68">
        <v>5.0303000000000004</v>
      </c>
      <c r="I46" s="96">
        <v>29.870488782919708</v>
      </c>
      <c r="J46" s="64">
        <f t="shared" si="21"/>
        <v>0.1183754701228288</v>
      </c>
      <c r="K46" s="88"/>
      <c r="M46" s="67"/>
      <c r="N46" s="65"/>
      <c r="O46" s="67"/>
      <c r="T46" s="67" t="s">
        <v>210</v>
      </c>
      <c r="U46" s="67"/>
      <c r="W46" s="81"/>
      <c r="Y46" s="63"/>
      <c r="AB46" s="64">
        <f t="shared" si="5"/>
        <v>3.5315176985425445E-7</v>
      </c>
      <c r="AC46" s="69">
        <f t="shared" si="6"/>
        <v>0.19087199829848223</v>
      </c>
      <c r="AE46" s="67">
        <f t="shared" si="7"/>
        <v>1</v>
      </c>
      <c r="AF46" s="67">
        <f t="shared" si="8"/>
        <v>1</v>
      </c>
      <c r="AG46" s="205">
        <f t="shared" si="15"/>
        <v>3</v>
      </c>
      <c r="AH46" s="205">
        <f t="shared" si="16"/>
        <v>5.7142857142857144</v>
      </c>
      <c r="AI46" s="205">
        <f t="shared" si="9"/>
        <v>8</v>
      </c>
      <c r="AJ46" s="205">
        <f t="shared" si="10"/>
        <v>16.666666666666668</v>
      </c>
      <c r="AK46" s="79">
        <f t="shared" si="17"/>
        <v>0.7634879931939289</v>
      </c>
      <c r="AL46" s="79">
        <f t="shared" si="18"/>
        <v>1.4542628441789123</v>
      </c>
      <c r="AM46" s="79">
        <f t="shared" si="11"/>
        <v>2.0359679818504772</v>
      </c>
      <c r="AN46" s="79">
        <f t="shared" si="12"/>
        <v>4.2415999621884941</v>
      </c>
      <c r="AO46" s="1" t="b">
        <f t="shared" si="24"/>
        <v>0</v>
      </c>
      <c r="AP46" s="1" t="b">
        <f t="shared" si="25"/>
        <v>0</v>
      </c>
      <c r="AQ46" s="1" t="b">
        <f t="shared" si="13"/>
        <v>0</v>
      </c>
      <c r="AR46" s="1" t="b">
        <f t="shared" si="14"/>
        <v>0</v>
      </c>
    </row>
    <row r="47" spans="1:44" s="64" customFormat="1" hidden="1" x14ac:dyDescent="0.2">
      <c r="A47" s="133">
        <v>42521</v>
      </c>
      <c r="B47" s="64" t="s">
        <v>251</v>
      </c>
      <c r="C47" s="87" t="s">
        <v>200</v>
      </c>
      <c r="D47" s="87" t="s">
        <v>279</v>
      </c>
      <c r="E47" s="87">
        <v>7</v>
      </c>
      <c r="F47" s="87" t="s">
        <v>276</v>
      </c>
      <c r="G47" s="67">
        <v>2974.5361055528201</v>
      </c>
      <c r="H47" s="68">
        <v>5.1445999999999996</v>
      </c>
      <c r="I47" s="96">
        <v>27.487888387307251</v>
      </c>
      <c r="J47" s="64">
        <f t="shared" si="21"/>
        <v>3.322353482444742</v>
      </c>
      <c r="K47" s="88"/>
      <c r="M47" s="67"/>
      <c r="N47" s="65"/>
      <c r="O47" s="67"/>
      <c r="T47" s="67" t="s">
        <v>210</v>
      </c>
      <c r="U47" s="67"/>
      <c r="W47" s="81"/>
      <c r="Y47" s="63"/>
      <c r="AB47" s="64">
        <f t="shared" si="5"/>
        <v>1.0481247464914305E-5</v>
      </c>
      <c r="AC47" s="69">
        <f t="shared" si="6"/>
        <v>5.6649203517080799</v>
      </c>
      <c r="AE47" s="67" t="b">
        <f t="shared" si="7"/>
        <v>0</v>
      </c>
      <c r="AF47" s="67">
        <f t="shared" si="8"/>
        <v>1</v>
      </c>
      <c r="AG47" s="205">
        <f t="shared" si="15"/>
        <v>3</v>
      </c>
      <c r="AH47" s="205">
        <f t="shared" si="16"/>
        <v>5.7142857142857144</v>
      </c>
      <c r="AI47" s="205">
        <f t="shared" si="9"/>
        <v>8</v>
      </c>
      <c r="AJ47" s="205">
        <f t="shared" si="10"/>
        <v>16.666666666666668</v>
      </c>
      <c r="AK47" s="79">
        <f t="shared" si="17"/>
        <v>22.65968140683232</v>
      </c>
      <c r="AL47" s="79">
        <f t="shared" si="18"/>
        <v>43.161297917775848</v>
      </c>
      <c r="AM47" s="79">
        <f t="shared" si="11"/>
        <v>60.425817084886184</v>
      </c>
      <c r="AN47" s="79">
        <f t="shared" si="12"/>
        <v>125.88711892684624</v>
      </c>
      <c r="AO47" s="1" t="b">
        <f t="shared" si="24"/>
        <v>1</v>
      </c>
      <c r="AP47" s="1" t="b">
        <f t="shared" si="25"/>
        <v>0</v>
      </c>
      <c r="AQ47" s="1" t="b">
        <f t="shared" si="13"/>
        <v>0</v>
      </c>
      <c r="AR47" s="1" t="b">
        <f t="shared" si="14"/>
        <v>0</v>
      </c>
    </row>
    <row r="48" spans="1:44" s="64" customFormat="1" hidden="1" x14ac:dyDescent="0.2">
      <c r="A48" s="133">
        <v>42521</v>
      </c>
      <c r="B48" s="64" t="s">
        <v>240</v>
      </c>
      <c r="C48" s="87" t="s">
        <v>200</v>
      </c>
      <c r="D48" s="87" t="s">
        <v>279</v>
      </c>
      <c r="E48" s="87">
        <v>8</v>
      </c>
      <c r="F48" s="87" t="s">
        <v>276</v>
      </c>
      <c r="G48" s="67">
        <v>1099.8777567040499</v>
      </c>
      <c r="H48" s="68">
        <v>4.9884000000000004</v>
      </c>
      <c r="I48" s="96">
        <v>29.345050768956725</v>
      </c>
      <c r="J48" s="64">
        <f t="shared" si="21"/>
        <v>1.3002573526295005</v>
      </c>
      <c r="K48" s="88"/>
      <c r="M48" s="67"/>
      <c r="N48" s="65"/>
      <c r="O48" s="67"/>
      <c r="T48" s="67" t="s">
        <v>210</v>
      </c>
      <c r="U48" s="67"/>
      <c r="W48" s="81"/>
      <c r="Y48" s="63"/>
      <c r="AB48" s="64">
        <f t="shared" si="5"/>
        <v>3.8755928790541439E-6</v>
      </c>
      <c r="AC48" s="69">
        <f t="shared" si="6"/>
        <v>2.0946862526605021</v>
      </c>
      <c r="AE48" s="67">
        <f t="shared" si="7"/>
        <v>1</v>
      </c>
      <c r="AF48" s="67">
        <f t="shared" si="8"/>
        <v>1</v>
      </c>
      <c r="AG48" s="205">
        <f t="shared" si="15"/>
        <v>3</v>
      </c>
      <c r="AH48" s="205">
        <f t="shared" si="16"/>
        <v>5.7142857142857144</v>
      </c>
      <c r="AI48" s="205">
        <f t="shared" si="9"/>
        <v>8</v>
      </c>
      <c r="AJ48" s="205">
        <f t="shared" si="10"/>
        <v>16.666666666666668</v>
      </c>
      <c r="AK48" s="79">
        <f t="shared" si="17"/>
        <v>8.3787450106420085</v>
      </c>
      <c r="AL48" s="79">
        <f t="shared" si="18"/>
        <v>15.959514305984777</v>
      </c>
      <c r="AM48" s="79">
        <f t="shared" si="11"/>
        <v>22.343320028378688</v>
      </c>
      <c r="AN48" s="79">
        <f t="shared" si="12"/>
        <v>46.548583392455605</v>
      </c>
      <c r="AO48" s="1" t="b">
        <f t="shared" si="24"/>
        <v>0</v>
      </c>
      <c r="AP48" s="1" t="b">
        <f t="shared" si="25"/>
        <v>1</v>
      </c>
      <c r="AQ48" s="1" t="b">
        <f t="shared" si="13"/>
        <v>0</v>
      </c>
      <c r="AR48" s="1" t="b">
        <f t="shared" si="14"/>
        <v>0</v>
      </c>
    </row>
    <row r="49" spans="1:44" s="64" customFormat="1" hidden="1" x14ac:dyDescent="0.2">
      <c r="A49" s="133">
        <v>42502</v>
      </c>
      <c r="B49" s="64" t="s">
        <v>254</v>
      </c>
      <c r="C49" s="87" t="s">
        <v>200</v>
      </c>
      <c r="D49" s="87" t="s">
        <v>279</v>
      </c>
      <c r="E49" s="87">
        <v>9</v>
      </c>
      <c r="F49" s="87" t="s">
        <v>276</v>
      </c>
      <c r="G49" s="67">
        <v>3389.5460528010899</v>
      </c>
      <c r="H49" s="68">
        <v>5.0254000000000003</v>
      </c>
      <c r="I49" s="96">
        <v>34.428117118105071</v>
      </c>
      <c r="J49" s="64">
        <f t="shared" si="21"/>
        <v>4.2858997389635967</v>
      </c>
      <c r="K49" s="88"/>
      <c r="M49" s="67"/>
      <c r="N49" s="65"/>
      <c r="O49" s="67"/>
      <c r="T49" s="67" t="s">
        <v>210</v>
      </c>
      <c r="U49" s="67"/>
      <c r="W49" s="81"/>
      <c r="Y49" s="63"/>
      <c r="AB49" s="64">
        <f t="shared" si="5"/>
        <v>1.1943600518686274E-5</v>
      </c>
      <c r="AC49" s="69">
        <f t="shared" si="6"/>
        <v>6.4552951237403358</v>
      </c>
      <c r="AE49" s="67" t="b">
        <f t="shared" si="7"/>
        <v>0</v>
      </c>
      <c r="AF49" s="67">
        <f t="shared" si="8"/>
        <v>1</v>
      </c>
      <c r="AG49" s="205">
        <f t="shared" si="15"/>
        <v>3</v>
      </c>
      <c r="AH49" s="205">
        <f t="shared" si="16"/>
        <v>5.7142857142857144</v>
      </c>
      <c r="AI49" s="205">
        <f t="shared" si="9"/>
        <v>8</v>
      </c>
      <c r="AJ49" s="205">
        <f t="shared" si="10"/>
        <v>16.666666666666668</v>
      </c>
      <c r="AK49" s="79">
        <f t="shared" si="17"/>
        <v>25.821180494961343</v>
      </c>
      <c r="AL49" s="79">
        <f t="shared" si="18"/>
        <v>49.183200942783515</v>
      </c>
      <c r="AM49" s="79">
        <f t="shared" si="11"/>
        <v>68.856481319896915</v>
      </c>
      <c r="AN49" s="79">
        <f t="shared" si="12"/>
        <v>143.45100274978526</v>
      </c>
      <c r="AO49" s="1" t="b">
        <f t="shared" si="24"/>
        <v>1</v>
      </c>
      <c r="AP49" s="1" t="b">
        <f t="shared" si="25"/>
        <v>0</v>
      </c>
      <c r="AQ49" s="1" t="b">
        <f t="shared" si="13"/>
        <v>0</v>
      </c>
      <c r="AR49" s="1" t="b">
        <f t="shared" si="14"/>
        <v>0</v>
      </c>
    </row>
    <row r="50" spans="1:44" s="64" customFormat="1" hidden="1" x14ac:dyDescent="0.2">
      <c r="A50" s="133">
        <f>[9]Sieving!H112</f>
        <v>42563</v>
      </c>
      <c r="B50" s="64" t="s">
        <v>269</v>
      </c>
      <c r="C50" s="87" t="s">
        <v>200</v>
      </c>
      <c r="D50" s="87" t="s">
        <v>280</v>
      </c>
      <c r="E50" s="87">
        <v>4</v>
      </c>
      <c r="F50" s="87" t="s">
        <v>276</v>
      </c>
      <c r="G50" s="67">
        <v>493.8867904626</v>
      </c>
      <c r="H50" s="68">
        <v>5.0206999999999997</v>
      </c>
      <c r="I50" s="96">
        <v>14.630122226337598</v>
      </c>
      <c r="J50" s="64">
        <f t="shared" si="21"/>
        <v>0.48011716983617958</v>
      </c>
      <c r="K50" s="88"/>
      <c r="M50" s="67"/>
      <c r="N50" s="65"/>
      <c r="O50" s="67"/>
      <c r="T50" s="67" t="s">
        <v>210</v>
      </c>
      <c r="U50" s="67"/>
      <c r="W50" s="81"/>
      <c r="Y50" s="63"/>
      <c r="AB50" s="64">
        <f t="shared" si="5"/>
        <v>1.7402880606583604E-6</v>
      </c>
      <c r="AC50" s="69">
        <f t="shared" si="6"/>
        <v>0.9405935014567216</v>
      </c>
      <c r="AE50" s="67">
        <f t="shared" si="7"/>
        <v>1</v>
      </c>
      <c r="AF50" s="67">
        <f t="shared" si="8"/>
        <v>1</v>
      </c>
      <c r="AG50" s="205">
        <f t="shared" si="15"/>
        <v>3</v>
      </c>
      <c r="AH50" s="205">
        <f t="shared" si="16"/>
        <v>5.7142857142857144</v>
      </c>
      <c r="AI50" s="205">
        <f t="shared" si="9"/>
        <v>8</v>
      </c>
      <c r="AJ50" s="205">
        <f t="shared" si="10"/>
        <v>16.666666666666668</v>
      </c>
      <c r="AK50" s="79">
        <f t="shared" si="17"/>
        <v>3.7623740058268864</v>
      </c>
      <c r="AL50" s="79">
        <f t="shared" si="18"/>
        <v>7.1664266777654975</v>
      </c>
      <c r="AM50" s="79">
        <f t="shared" si="11"/>
        <v>10.032997348871698</v>
      </c>
      <c r="AN50" s="79">
        <f t="shared" si="12"/>
        <v>20.902077810149368</v>
      </c>
      <c r="AO50" s="1" t="b">
        <f t="shared" si="24"/>
        <v>0</v>
      </c>
      <c r="AP50" s="1" t="b">
        <f t="shared" si="25"/>
        <v>0</v>
      </c>
      <c r="AQ50" s="1" t="b">
        <f t="shared" si="13"/>
        <v>1</v>
      </c>
      <c r="AR50" s="1" t="b">
        <f t="shared" si="14"/>
        <v>0</v>
      </c>
    </row>
    <row r="51" spans="1:44" s="64" customFormat="1" hidden="1" x14ac:dyDescent="0.2">
      <c r="A51" s="133">
        <f>[9]Sieving!H113</f>
        <v>42563</v>
      </c>
      <c r="B51" s="64" t="s">
        <v>236</v>
      </c>
      <c r="C51" s="87" t="s">
        <v>200</v>
      </c>
      <c r="D51" s="87" t="s">
        <v>280</v>
      </c>
      <c r="E51" s="87">
        <v>5</v>
      </c>
      <c r="F51" s="87" t="s">
        <v>276</v>
      </c>
      <c r="G51" s="67">
        <v>33.906097224780098</v>
      </c>
      <c r="H51" s="67">
        <v>5.4240000000000004</v>
      </c>
      <c r="I51" s="55"/>
      <c r="J51" s="64">
        <f t="shared" si="21"/>
        <v>2.6046350498386876E-2</v>
      </c>
      <c r="K51" s="88"/>
      <c r="M51" s="67"/>
      <c r="N51" s="65"/>
      <c r="O51" s="67"/>
      <c r="T51" s="67" t="s">
        <v>210</v>
      </c>
      <c r="U51" s="67"/>
      <c r="W51" s="81"/>
      <c r="AB51" s="64">
        <f t="shared" si="5"/>
        <v>1.1947348526681171E-7</v>
      </c>
      <c r="AC51" s="69">
        <f t="shared" si="6"/>
        <v>6.4573208527234291E-2</v>
      </c>
      <c r="AE51" s="67">
        <f t="shared" si="7"/>
        <v>1</v>
      </c>
      <c r="AF51" s="67">
        <f t="shared" si="8"/>
        <v>1</v>
      </c>
      <c r="AG51" s="205">
        <f t="shared" si="15"/>
        <v>3</v>
      </c>
      <c r="AH51" s="205">
        <f t="shared" si="16"/>
        <v>5.7142857142857144</v>
      </c>
      <c r="AI51" s="205">
        <f t="shared" si="9"/>
        <v>8</v>
      </c>
      <c r="AJ51" s="205">
        <f t="shared" si="10"/>
        <v>16.666666666666668</v>
      </c>
      <c r="AK51" s="79">
        <f t="shared" si="17"/>
        <v>0.25829283410893716</v>
      </c>
      <c r="AL51" s="79">
        <f t="shared" si="18"/>
        <v>0.49198635068368984</v>
      </c>
      <c r="AM51" s="79">
        <f t="shared" si="11"/>
        <v>0.68878089095716577</v>
      </c>
      <c r="AN51" s="79">
        <f t="shared" si="12"/>
        <v>1.4349601894940953</v>
      </c>
      <c r="AO51" s="1" t="b">
        <f t="shared" si="24"/>
        <v>0</v>
      </c>
      <c r="AP51" s="1" t="b">
        <f t="shared" si="25"/>
        <v>0</v>
      </c>
      <c r="AQ51" s="1" t="b">
        <f t="shared" si="13"/>
        <v>0</v>
      </c>
      <c r="AR51" s="1" t="b">
        <f t="shared" si="14"/>
        <v>0</v>
      </c>
    </row>
    <row r="52" spans="1:44" s="64" customFormat="1" hidden="1" x14ac:dyDescent="0.2">
      <c r="A52" s="133">
        <f>[9]Sieving!H114</f>
        <v>42563</v>
      </c>
      <c r="B52" s="64" t="s">
        <v>270</v>
      </c>
      <c r="C52" s="87" t="s">
        <v>200</v>
      </c>
      <c r="D52" s="87" t="s">
        <v>280</v>
      </c>
      <c r="E52" s="87">
        <v>7</v>
      </c>
      <c r="F52" s="87" t="s">
        <v>276</v>
      </c>
      <c r="G52" s="67">
        <v>572.24015013482006</v>
      </c>
      <c r="H52" s="67">
        <v>5.0267999999999997</v>
      </c>
      <c r="I52" s="55">
        <v>13.039944735665795</v>
      </c>
      <c r="J52" s="64">
        <f t="shared" si="21"/>
        <v>0.54545091017240221</v>
      </c>
      <c r="K52" s="88"/>
      <c r="M52" s="67"/>
      <c r="N52" s="65"/>
      <c r="O52" s="67"/>
      <c r="T52" s="67" t="s">
        <v>210</v>
      </c>
      <c r="U52" s="67"/>
      <c r="W52" s="81"/>
      <c r="AB52" s="64">
        <f t="shared" si="5"/>
        <v>2.0163784906581492E-6</v>
      </c>
      <c r="AC52" s="69">
        <f t="shared" si="6"/>
        <v>1.0898152711986524</v>
      </c>
      <c r="AE52" s="67">
        <f t="shared" si="7"/>
        <v>1</v>
      </c>
      <c r="AF52" s="67">
        <f t="shared" si="8"/>
        <v>1</v>
      </c>
      <c r="AG52" s="205">
        <f t="shared" si="15"/>
        <v>3</v>
      </c>
      <c r="AH52" s="205">
        <f t="shared" si="16"/>
        <v>5.7142857142857144</v>
      </c>
      <c r="AI52" s="205">
        <f t="shared" si="9"/>
        <v>8</v>
      </c>
      <c r="AJ52" s="205">
        <f t="shared" si="10"/>
        <v>16.666666666666668</v>
      </c>
      <c r="AK52" s="79">
        <f t="shared" si="17"/>
        <v>4.3592610847946096</v>
      </c>
      <c r="AL52" s="79">
        <f t="shared" si="18"/>
        <v>8.3033544472278269</v>
      </c>
      <c r="AM52" s="79">
        <f t="shared" si="11"/>
        <v>11.624696226118958</v>
      </c>
      <c r="AN52" s="79">
        <f t="shared" si="12"/>
        <v>24.218117137747836</v>
      </c>
      <c r="AO52" s="1" t="b">
        <f t="shared" si="24"/>
        <v>0</v>
      </c>
      <c r="AP52" s="1" t="b">
        <f t="shared" si="25"/>
        <v>0</v>
      </c>
      <c r="AQ52" s="1" t="b">
        <f t="shared" si="13"/>
        <v>1</v>
      </c>
      <c r="AR52" s="1" t="b">
        <f t="shared" si="14"/>
        <v>0</v>
      </c>
    </row>
    <row r="53" spans="1:44" s="64" customFormat="1" hidden="1" x14ac:dyDescent="0.2">
      <c r="A53" s="133">
        <f>[9]Sieving!H115</f>
        <v>42563</v>
      </c>
      <c r="B53" s="64" t="s">
        <v>271</v>
      </c>
      <c r="C53" s="87" t="s">
        <v>200</v>
      </c>
      <c r="D53" s="87" t="s">
        <v>280</v>
      </c>
      <c r="E53" s="87">
        <v>8</v>
      </c>
      <c r="F53" s="87" t="s">
        <v>276</v>
      </c>
      <c r="G53" s="67">
        <v>658.574592121774</v>
      </c>
      <c r="H53" s="67">
        <v>5.0651000000000002</v>
      </c>
      <c r="I53" s="55">
        <v>13.292092999696164</v>
      </c>
      <c r="J53" s="64">
        <f t="shared" si="21"/>
        <v>0.6248086058480572</v>
      </c>
      <c r="K53" s="88"/>
      <c r="M53" s="67"/>
      <c r="N53" s="65"/>
      <c r="O53" s="67"/>
      <c r="T53" s="67" t="s">
        <v>210</v>
      </c>
      <c r="U53" s="67"/>
      <c r="W53" s="81"/>
      <c r="AB53" s="64">
        <f t="shared" si="5"/>
        <v>2.3205915239177929E-6</v>
      </c>
      <c r="AC53" s="69">
        <f t="shared" si="6"/>
        <v>1.2542367877343745</v>
      </c>
      <c r="AE53" s="67">
        <f t="shared" si="7"/>
        <v>1</v>
      </c>
      <c r="AF53" s="67">
        <f t="shared" si="8"/>
        <v>1</v>
      </c>
      <c r="AG53" s="205">
        <f t="shared" si="15"/>
        <v>3</v>
      </c>
      <c r="AH53" s="205">
        <f t="shared" si="16"/>
        <v>5.7142857142857144</v>
      </c>
      <c r="AI53" s="205">
        <f t="shared" si="9"/>
        <v>8</v>
      </c>
      <c r="AJ53" s="205">
        <f t="shared" si="10"/>
        <v>16.666666666666668</v>
      </c>
      <c r="AK53" s="79">
        <f t="shared" si="17"/>
        <v>5.0169471509374981</v>
      </c>
      <c r="AL53" s="79">
        <f t="shared" si="18"/>
        <v>9.556089811309521</v>
      </c>
      <c r="AM53" s="79">
        <f t="shared" si="11"/>
        <v>13.378525735833328</v>
      </c>
      <c r="AN53" s="79">
        <f t="shared" si="12"/>
        <v>27.871928616319437</v>
      </c>
      <c r="AO53" s="1" t="b">
        <f t="shared" si="24"/>
        <v>0</v>
      </c>
      <c r="AP53" s="1" t="b">
        <f t="shared" si="25"/>
        <v>0</v>
      </c>
      <c r="AQ53" s="1" t="b">
        <f t="shared" si="13"/>
        <v>1</v>
      </c>
      <c r="AR53" s="1" t="b">
        <f t="shared" si="14"/>
        <v>0</v>
      </c>
    </row>
    <row r="54" spans="1:44" s="64" customFormat="1" hidden="1" x14ac:dyDescent="0.2">
      <c r="A54" s="133">
        <f>[9]Sieving!H116</f>
        <v>42549</v>
      </c>
      <c r="B54" s="64" t="s">
        <v>242</v>
      </c>
      <c r="C54" s="87" t="s">
        <v>200</v>
      </c>
      <c r="D54" s="87" t="s">
        <v>280</v>
      </c>
      <c r="E54" s="87">
        <v>9</v>
      </c>
      <c r="F54" s="87" t="s">
        <v>276</v>
      </c>
      <c r="G54" s="67">
        <v>238.77856150125399</v>
      </c>
      <c r="H54" s="67">
        <v>5.1006999999999998</v>
      </c>
      <c r="I54" s="55">
        <v>24.775461786137964</v>
      </c>
      <c r="J54" s="64">
        <f t="shared" si="21"/>
        <v>0.25929537973923739</v>
      </c>
      <c r="K54" s="88"/>
      <c r="M54" s="67"/>
      <c r="N54" s="65"/>
      <c r="O54" s="67"/>
      <c r="T54" s="67" t="s">
        <v>210</v>
      </c>
      <c r="U54" s="67"/>
      <c r="W54" s="81"/>
      <c r="AB54" s="64">
        <f t="shared" si="5"/>
        <v>8.4137394995438278E-7</v>
      </c>
      <c r="AC54" s="69">
        <f t="shared" si="6"/>
        <v>0.45474705453226971</v>
      </c>
      <c r="AE54" s="67">
        <f t="shared" si="7"/>
        <v>1</v>
      </c>
      <c r="AF54" s="67">
        <f t="shared" si="8"/>
        <v>1</v>
      </c>
      <c r="AG54" s="205">
        <f t="shared" si="15"/>
        <v>3</v>
      </c>
      <c r="AH54" s="205">
        <f t="shared" si="16"/>
        <v>5.7142857142857144</v>
      </c>
      <c r="AI54" s="205">
        <f t="shared" si="9"/>
        <v>8</v>
      </c>
      <c r="AJ54" s="205">
        <f t="shared" si="10"/>
        <v>16.666666666666668</v>
      </c>
      <c r="AK54" s="79">
        <f t="shared" si="17"/>
        <v>1.8189882181290791</v>
      </c>
      <c r="AL54" s="79">
        <f t="shared" si="18"/>
        <v>3.4647394631030077</v>
      </c>
      <c r="AM54" s="79">
        <f t="shared" si="11"/>
        <v>4.8506352483442106</v>
      </c>
      <c r="AN54" s="79">
        <f t="shared" si="12"/>
        <v>10.105490100717105</v>
      </c>
      <c r="AO54" s="1" t="b">
        <f t="shared" si="24"/>
        <v>0</v>
      </c>
      <c r="AP54" s="1" t="b">
        <f t="shared" si="25"/>
        <v>0</v>
      </c>
      <c r="AQ54" s="1" t="b">
        <f t="shared" si="13"/>
        <v>0</v>
      </c>
      <c r="AR54" s="1" t="b">
        <f t="shared" si="14"/>
        <v>1</v>
      </c>
    </row>
    <row r="55" spans="1:44" s="64" customFormat="1" hidden="1" x14ac:dyDescent="0.2">
      <c r="A55" s="133">
        <f>[9]Sieving!$H$111</f>
        <v>42563</v>
      </c>
      <c r="B55" s="64" t="s">
        <v>241</v>
      </c>
      <c r="C55" s="87" t="s">
        <v>200</v>
      </c>
      <c r="D55" s="87" t="s">
        <v>280</v>
      </c>
      <c r="E55" s="87">
        <v>10</v>
      </c>
      <c r="F55" s="87" t="s">
        <v>276</v>
      </c>
      <c r="G55" s="67">
        <v>3128.1500047763302</v>
      </c>
      <c r="H55" s="67">
        <v>5.2343000000000002</v>
      </c>
      <c r="I55" s="55"/>
      <c r="J55" s="64">
        <f t="shared" si="21"/>
        <v>2.4901053346645607</v>
      </c>
      <c r="K55" s="88"/>
      <c r="M55" s="67"/>
      <c r="N55" s="65"/>
      <c r="O55" s="67"/>
      <c r="T55" s="67" t="s">
        <v>210</v>
      </c>
      <c r="U55" s="67"/>
      <c r="W55" s="81"/>
      <c r="AB55" s="64">
        <f t="shared" si="5"/>
        <v>1.1022530285050988E-5</v>
      </c>
      <c r="AC55" s="69">
        <f t="shared" si="6"/>
        <v>5.9574737022597857</v>
      </c>
      <c r="AE55" s="67" t="b">
        <f t="shared" si="7"/>
        <v>0</v>
      </c>
      <c r="AF55" s="67">
        <f t="shared" si="8"/>
        <v>1</v>
      </c>
      <c r="AG55" s="205">
        <f t="shared" si="15"/>
        <v>3</v>
      </c>
      <c r="AH55" s="205">
        <f t="shared" si="16"/>
        <v>5.7142857142857144</v>
      </c>
      <c r="AI55" s="205">
        <f t="shared" si="9"/>
        <v>8</v>
      </c>
      <c r="AJ55" s="205">
        <f t="shared" si="10"/>
        <v>16.666666666666668</v>
      </c>
      <c r="AK55" s="79">
        <f t="shared" si="17"/>
        <v>23.829894809039143</v>
      </c>
      <c r="AL55" s="79">
        <f t="shared" si="18"/>
        <v>45.390275826741224</v>
      </c>
      <c r="AM55" s="79">
        <f t="shared" si="11"/>
        <v>63.546386157437716</v>
      </c>
      <c r="AN55" s="79">
        <f t="shared" si="12"/>
        <v>132.38830449466192</v>
      </c>
      <c r="AO55" s="1" t="b">
        <f t="shared" si="24"/>
        <v>1</v>
      </c>
      <c r="AP55" s="1" t="b">
        <f t="shared" si="25"/>
        <v>0</v>
      </c>
      <c r="AQ55" s="1" t="b">
        <f t="shared" si="13"/>
        <v>0</v>
      </c>
      <c r="AR55" s="1" t="b">
        <f t="shared" si="14"/>
        <v>0</v>
      </c>
    </row>
    <row r="56" spans="1:44" x14ac:dyDescent="0.2">
      <c r="A56" s="133">
        <v>42459</v>
      </c>
      <c r="B56" s="1" t="s">
        <v>261</v>
      </c>
      <c r="C56" s="51" t="s">
        <v>201</v>
      </c>
      <c r="D56" s="51" t="s">
        <v>275</v>
      </c>
      <c r="E56" s="51">
        <v>11</v>
      </c>
      <c r="F56" s="51" t="s">
        <v>276</v>
      </c>
      <c r="G56" s="76">
        <v>4435.0051501432699</v>
      </c>
      <c r="H56" s="12">
        <v>5.0747</v>
      </c>
      <c r="I56" s="32">
        <v>26.650965401612169</v>
      </c>
      <c r="J56" s="1">
        <f t="shared" si="21"/>
        <v>4.9645296795635172</v>
      </c>
      <c r="K56" s="88">
        <f t="shared" si="19"/>
        <v>4.6318906530342638E-2</v>
      </c>
      <c r="L56" s="1"/>
      <c r="M56" s="9">
        <v>4387.3565935057404</v>
      </c>
      <c r="N56" s="7">
        <v>4461.8934417079599</v>
      </c>
      <c r="O56" s="8">
        <v>4455.7654152161103</v>
      </c>
      <c r="P56" s="1">
        <v>4.911192047338278</v>
      </c>
      <c r="Q56" s="1">
        <v>4.9946283416814961</v>
      </c>
      <c r="R56" s="1">
        <v>4.9877686496707767</v>
      </c>
      <c r="S56"/>
      <c r="T56" s="9" t="e">
        <v>#VALUE!</v>
      </c>
      <c r="U56" s="9" t="e">
        <f>(T56-G56)/T56*100</f>
        <v>#VALUE!</v>
      </c>
      <c r="V56" s="1" t="e">
        <f>T56*$B$3*$B$1/($H56*(1-$I56%))</f>
        <v>#VALUE!</v>
      </c>
      <c r="W56" s="58"/>
      <c r="X56" s="1" t="s">
        <v>85</v>
      </c>
      <c r="Y56" s="46" t="s">
        <v>190</v>
      </c>
      <c r="AB56" s="64">
        <f t="shared" si="5"/>
        <v>1.5627440662106829E-5</v>
      </c>
      <c r="AC56" s="69">
        <f t="shared" si="6"/>
        <v>8.4463425702164923</v>
      </c>
      <c r="AE56" s="67" t="b">
        <f t="shared" si="7"/>
        <v>0</v>
      </c>
      <c r="AF56" s="67">
        <f t="shared" si="8"/>
        <v>1</v>
      </c>
      <c r="AG56" s="205">
        <f t="shared" si="15"/>
        <v>3</v>
      </c>
      <c r="AH56" s="205">
        <f t="shared" si="16"/>
        <v>5.7142857142857144</v>
      </c>
      <c r="AI56" s="205">
        <f t="shared" si="9"/>
        <v>8</v>
      </c>
      <c r="AJ56" s="205">
        <f t="shared" si="10"/>
        <v>16.666666666666668</v>
      </c>
      <c r="AK56" s="79">
        <f t="shared" si="17"/>
        <v>33.785370280865969</v>
      </c>
      <c r="AL56" s="79">
        <f t="shared" si="18"/>
        <v>64.353086249268515</v>
      </c>
      <c r="AM56" s="79">
        <f t="shared" si="11"/>
        <v>90.094320748975917</v>
      </c>
      <c r="AN56" s="79">
        <f t="shared" si="12"/>
        <v>187.6965015603665</v>
      </c>
      <c r="AO56" s="1" t="b">
        <f t="shared" si="24"/>
        <v>1</v>
      </c>
      <c r="AP56" s="1" t="b">
        <f t="shared" si="25"/>
        <v>0</v>
      </c>
      <c r="AQ56" s="1" t="b">
        <f t="shared" si="13"/>
        <v>0</v>
      </c>
      <c r="AR56" s="1" t="b">
        <f t="shared" si="14"/>
        <v>0</v>
      </c>
    </row>
    <row r="57" spans="1:44" x14ac:dyDescent="0.2">
      <c r="A57" s="133">
        <v>42459</v>
      </c>
      <c r="B57" s="1" t="s">
        <v>263</v>
      </c>
      <c r="C57" s="51" t="s">
        <v>201</v>
      </c>
      <c r="D57" s="51" t="s">
        <v>275</v>
      </c>
      <c r="E57" s="51">
        <v>12</v>
      </c>
      <c r="F57" s="51" t="s">
        <v>276</v>
      </c>
      <c r="G57" s="10">
        <v>5445.8260299964804</v>
      </c>
      <c r="H57" s="12">
        <v>5.0751999999999997</v>
      </c>
      <c r="I57" s="32">
        <v>27.57705236697366</v>
      </c>
      <c r="J57" s="1">
        <f t="shared" si="21"/>
        <v>6.1733821758613177</v>
      </c>
      <c r="K57" s="88"/>
      <c r="L57" s="1"/>
      <c r="N57" s="7"/>
      <c r="O57" s="10"/>
      <c r="P57" s="1">
        <v>0</v>
      </c>
      <c r="Q57" s="1">
        <v>0</v>
      </c>
      <c r="R57" s="1">
        <v>0</v>
      </c>
      <c r="S57"/>
      <c r="T57" s="9">
        <v>35017.732785284534</v>
      </c>
      <c r="U57" s="9">
        <f>(T57-G57)/T57*100</f>
        <v>84.448376302977053</v>
      </c>
      <c r="V57" s="1">
        <f>T57*$B$3*$B$1/($H57*(1-$I57%))</f>
        <v>39.696061942670944</v>
      </c>
      <c r="W57" s="58"/>
      <c r="X57" s="1" t="s">
        <v>68</v>
      </c>
      <c r="Y57" s="46" t="s">
        <v>191</v>
      </c>
      <c r="AB57" s="64">
        <f t="shared" si="5"/>
        <v>1.9189227578952772E-5</v>
      </c>
      <c r="AC57" s="69">
        <f t="shared" si="6"/>
        <v>10.371422505713761</v>
      </c>
      <c r="AE57" s="67" t="b">
        <f t="shared" si="7"/>
        <v>0</v>
      </c>
      <c r="AF57" s="67" t="b">
        <f t="shared" si="8"/>
        <v>0</v>
      </c>
      <c r="AG57" s="205">
        <f t="shared" si="15"/>
        <v>3</v>
      </c>
      <c r="AH57" s="205">
        <f t="shared" si="16"/>
        <v>5.7142857142857144</v>
      </c>
      <c r="AI57" s="205">
        <f t="shared" si="9"/>
        <v>8</v>
      </c>
      <c r="AJ57" s="205">
        <f t="shared" si="10"/>
        <v>16.666666666666668</v>
      </c>
      <c r="AK57" s="79">
        <f t="shared" si="17"/>
        <v>41.485690022855046</v>
      </c>
      <c r="AL57" s="79">
        <f t="shared" si="18"/>
        <v>79.020361948295331</v>
      </c>
      <c r="AM57" s="79">
        <f t="shared" si="11"/>
        <v>110.62850672761346</v>
      </c>
      <c r="AN57" s="79">
        <f t="shared" si="12"/>
        <v>230.47605568252803</v>
      </c>
      <c r="AO57" s="1" t="b">
        <f t="shared" si="24"/>
        <v>0</v>
      </c>
      <c r="AP57" s="1" t="b">
        <f t="shared" si="25"/>
        <v>0</v>
      </c>
      <c r="AQ57" s="1" t="b">
        <f t="shared" si="13"/>
        <v>0</v>
      </c>
      <c r="AR57" s="1" t="b">
        <f t="shared" si="14"/>
        <v>0</v>
      </c>
    </row>
    <row r="58" spans="1:44" x14ac:dyDescent="0.2">
      <c r="A58" s="133">
        <v>42459</v>
      </c>
      <c r="B58" s="1" t="s">
        <v>265</v>
      </c>
      <c r="C58" s="51" t="s">
        <v>201</v>
      </c>
      <c r="D58" s="51" t="s">
        <v>275</v>
      </c>
      <c r="E58" s="51">
        <v>13</v>
      </c>
      <c r="F58" s="51" t="s">
        <v>276</v>
      </c>
      <c r="G58" s="10">
        <v>68.086277228381405</v>
      </c>
      <c r="H58" s="12">
        <v>4.9977999999999998</v>
      </c>
      <c r="I58" s="32">
        <v>25.331742352720948</v>
      </c>
      <c r="J58" s="1">
        <f t="shared" si="21"/>
        <v>7.6020978797797734E-2</v>
      </c>
      <c r="K58" s="88"/>
      <c r="L58" s="1"/>
      <c r="N58" s="7"/>
      <c r="O58" s="10"/>
      <c r="P58" s="1">
        <v>0</v>
      </c>
      <c r="Q58" s="1">
        <v>0</v>
      </c>
      <c r="R58" s="1">
        <v>0</v>
      </c>
      <c r="S58"/>
      <c r="T58" s="9">
        <v>237.99163068933649</v>
      </c>
      <c r="U58" s="9">
        <f>(T58-G58)/T58*100</f>
        <v>71.391314462961873</v>
      </c>
      <c r="V58" s="1">
        <f>T58*$B$3*$B$1/($H58*(1-$I58%))</f>
        <v>0.26572691953769578</v>
      </c>
      <c r="W58" s="58"/>
      <c r="X58" s="1" t="s">
        <v>70</v>
      </c>
      <c r="Y58" s="46" t="s">
        <v>192</v>
      </c>
      <c r="AB58" s="64">
        <f t="shared" si="5"/>
        <v>2.3991274446567747E-7</v>
      </c>
      <c r="AC58" s="69">
        <f t="shared" si="6"/>
        <v>0.12966839999792606</v>
      </c>
      <c r="AE58" s="67">
        <f t="shared" si="7"/>
        <v>1</v>
      </c>
      <c r="AF58" s="67">
        <f t="shared" si="8"/>
        <v>1</v>
      </c>
      <c r="AG58" s="205">
        <f t="shared" si="15"/>
        <v>3</v>
      </c>
      <c r="AH58" s="205">
        <f t="shared" si="16"/>
        <v>5.7142857142857144</v>
      </c>
      <c r="AI58" s="205">
        <f t="shared" si="9"/>
        <v>8</v>
      </c>
      <c r="AJ58" s="205">
        <f t="shared" si="10"/>
        <v>16.666666666666668</v>
      </c>
      <c r="AK58" s="79">
        <f t="shared" si="17"/>
        <v>0.51867359999170426</v>
      </c>
      <c r="AL58" s="79">
        <f t="shared" si="18"/>
        <v>0.98794971426991296</v>
      </c>
      <c r="AM58" s="79">
        <f t="shared" si="11"/>
        <v>1.3831295999778781</v>
      </c>
      <c r="AN58" s="79">
        <f t="shared" si="12"/>
        <v>2.8815199999539125</v>
      </c>
      <c r="AO58" s="1" t="b">
        <f t="shared" si="24"/>
        <v>0</v>
      </c>
      <c r="AP58" s="1" t="b">
        <f t="shared" si="25"/>
        <v>0</v>
      </c>
      <c r="AQ58" s="1" t="b">
        <f t="shared" si="13"/>
        <v>0</v>
      </c>
      <c r="AR58" s="1" t="b">
        <f t="shared" si="14"/>
        <v>0</v>
      </c>
    </row>
    <row r="59" spans="1:44" x14ac:dyDescent="0.2">
      <c r="A59" s="133">
        <v>42474</v>
      </c>
      <c r="B59" s="1" t="s">
        <v>71</v>
      </c>
      <c r="C59" s="51" t="s">
        <v>201</v>
      </c>
      <c r="D59" s="51" t="s">
        <v>278</v>
      </c>
      <c r="E59" s="51">
        <v>13</v>
      </c>
      <c r="F59" s="51" t="s">
        <v>276</v>
      </c>
      <c r="G59" s="10">
        <v>10541.745330130099</v>
      </c>
      <c r="H59" s="12">
        <v>5.0133999999999999</v>
      </c>
      <c r="I59" s="32">
        <v>24.600367978682613</v>
      </c>
      <c r="J59" s="1">
        <f t="shared" si="21"/>
        <v>11.619827890683689</v>
      </c>
      <c r="K59" s="88"/>
      <c r="L59" s="1"/>
      <c r="N59" s="7"/>
      <c r="O59" s="10"/>
      <c r="P59" s="1">
        <v>0</v>
      </c>
      <c r="Q59" s="1">
        <v>0</v>
      </c>
      <c r="R59" s="1">
        <v>0</v>
      </c>
      <c r="S59"/>
      <c r="T59" s="9">
        <v>95164.611768581744</v>
      </c>
      <c r="U59" s="9">
        <f>(T59-G59)/T59*100</f>
        <v>88.922620358326924</v>
      </c>
      <c r="V59" s="1">
        <f>T59*$B$3*$B$1/($H59*(1-$I59%))</f>
        <v>104.89690040928018</v>
      </c>
      <c r="W59" s="58"/>
      <c r="X59" s="1" t="s">
        <v>71</v>
      </c>
      <c r="Y59" s="46"/>
      <c r="AB59" s="64">
        <f t="shared" si="5"/>
        <v>3.7145503566400158E-5</v>
      </c>
      <c r="AC59" s="69">
        <f t="shared" si="6"/>
        <v>20.076457485823308</v>
      </c>
      <c r="AE59" s="67" t="b">
        <f t="shared" si="7"/>
        <v>0</v>
      </c>
      <c r="AF59" s="67" t="b">
        <f t="shared" si="8"/>
        <v>0</v>
      </c>
      <c r="AG59" s="205">
        <f t="shared" si="15"/>
        <v>3</v>
      </c>
      <c r="AH59" s="205">
        <f t="shared" si="16"/>
        <v>5.7142857142857144</v>
      </c>
      <c r="AI59" s="205">
        <f t="shared" si="9"/>
        <v>8</v>
      </c>
      <c r="AJ59" s="205">
        <f t="shared" si="10"/>
        <v>16.666666666666668</v>
      </c>
      <c r="AK59" s="79">
        <f t="shared" si="17"/>
        <v>80.305829943293233</v>
      </c>
      <c r="AL59" s="79">
        <f t="shared" si="18"/>
        <v>152.96348560627283</v>
      </c>
      <c r="AM59" s="79">
        <f t="shared" si="11"/>
        <v>214.14887984878195</v>
      </c>
      <c r="AN59" s="79">
        <f t="shared" si="12"/>
        <v>446.14349968496248</v>
      </c>
      <c r="AO59" s="1" t="b">
        <f t="shared" si="24"/>
        <v>0</v>
      </c>
      <c r="AP59" s="1" t="b">
        <f t="shared" si="25"/>
        <v>0</v>
      </c>
      <c r="AQ59" s="1" t="b">
        <f t="shared" si="13"/>
        <v>0</v>
      </c>
      <c r="AR59" s="1" t="b">
        <f t="shared" si="14"/>
        <v>0</v>
      </c>
    </row>
    <row r="60" spans="1:44" s="64" customFormat="1" x14ac:dyDescent="0.2">
      <c r="A60" s="133">
        <v>42502</v>
      </c>
      <c r="B60" s="64" t="s">
        <v>234</v>
      </c>
      <c r="C60" s="87" t="s">
        <v>201</v>
      </c>
      <c r="D60" s="87" t="s">
        <v>279</v>
      </c>
      <c r="E60" s="87">
        <v>11</v>
      </c>
      <c r="F60" s="87" t="s">
        <v>276</v>
      </c>
      <c r="G60" s="76">
        <v>712.36815950030905</v>
      </c>
      <c r="H60" s="67">
        <v>5.3536999999999999</v>
      </c>
      <c r="I60" s="55">
        <v>30.861420238498123</v>
      </c>
      <c r="J60" s="64">
        <f t="shared" si="21"/>
        <v>0.80189733937116681</v>
      </c>
      <c r="K60" s="88">
        <f t="shared" si="19"/>
        <v>1.3153395953174862E-2</v>
      </c>
      <c r="M60" s="67">
        <v>698.90227105547501</v>
      </c>
      <c r="N60" s="65">
        <v>718.36734138639702</v>
      </c>
      <c r="O60" s="67">
        <v>719.834866059055</v>
      </c>
      <c r="P60" s="64">
        <v>0.78673908170317119</v>
      </c>
      <c r="Q60" s="64">
        <v>0.80865048790637373</v>
      </c>
      <c r="R60" s="64">
        <v>0.81030244850395494</v>
      </c>
      <c r="T60" s="67" t="s">
        <v>210</v>
      </c>
      <c r="U60" s="67"/>
      <c r="W60" s="81"/>
      <c r="AB60" s="64">
        <f t="shared" si="5"/>
        <v>2.510141649284377E-6</v>
      </c>
      <c r="AC60" s="69">
        <f t="shared" si="6"/>
        <v>1.3566851238176938</v>
      </c>
      <c r="AE60" s="67">
        <f t="shared" si="7"/>
        <v>1</v>
      </c>
      <c r="AF60" s="67">
        <f t="shared" si="8"/>
        <v>1</v>
      </c>
      <c r="AG60" s="205">
        <f t="shared" si="15"/>
        <v>3</v>
      </c>
      <c r="AH60" s="205">
        <f t="shared" si="16"/>
        <v>5.7142857142857144</v>
      </c>
      <c r="AI60" s="205">
        <f t="shared" si="9"/>
        <v>8</v>
      </c>
      <c r="AJ60" s="205">
        <f t="shared" si="10"/>
        <v>16.666666666666668</v>
      </c>
      <c r="AK60" s="79">
        <f t="shared" si="17"/>
        <v>5.4267404952707752</v>
      </c>
      <c r="AL60" s="79">
        <f t="shared" si="18"/>
        <v>10.336648562420525</v>
      </c>
      <c r="AM60" s="79">
        <f t="shared" si="11"/>
        <v>14.471307987388734</v>
      </c>
      <c r="AN60" s="79">
        <f t="shared" si="12"/>
        <v>30.148558307059862</v>
      </c>
      <c r="AO60" s="1" t="b">
        <f t="shared" si="24"/>
        <v>0</v>
      </c>
      <c r="AP60" s="1" t="b">
        <f t="shared" si="25"/>
        <v>1</v>
      </c>
      <c r="AQ60" s="1" t="b">
        <f t="shared" si="13"/>
        <v>0</v>
      </c>
      <c r="AR60" s="1" t="b">
        <f t="shared" si="14"/>
        <v>0</v>
      </c>
    </row>
    <row r="61" spans="1:44" s="64" customFormat="1" x14ac:dyDescent="0.2">
      <c r="A61" s="133">
        <v>42521</v>
      </c>
      <c r="B61" s="64" t="s">
        <v>249</v>
      </c>
      <c r="C61" s="87" t="s">
        <v>201</v>
      </c>
      <c r="D61" s="87" t="s">
        <v>279</v>
      </c>
      <c r="E61" s="87">
        <v>12</v>
      </c>
      <c r="F61" s="87" t="s">
        <v>276</v>
      </c>
      <c r="G61" s="76">
        <v>1984.79107514877</v>
      </c>
      <c r="H61" s="67">
        <v>5.0805999999999996</v>
      </c>
      <c r="I61" s="55"/>
      <c r="J61" s="64">
        <f t="shared" si="21"/>
        <v>1.627753181340762</v>
      </c>
      <c r="K61" s="88"/>
      <c r="M61" s="67"/>
      <c r="N61" s="65"/>
      <c r="O61" s="67"/>
      <c r="T61" s="67" t="s">
        <v>210</v>
      </c>
      <c r="U61" s="67"/>
      <c r="W61" s="81"/>
      <c r="AB61" s="64">
        <f t="shared" si="5"/>
        <v>6.9937246301877756E-6</v>
      </c>
      <c r="AC61" s="69">
        <f t="shared" si="6"/>
        <v>3.7799787787108339</v>
      </c>
      <c r="AE61" s="67" t="b">
        <f t="shared" si="7"/>
        <v>0</v>
      </c>
      <c r="AF61" s="67">
        <f t="shared" si="8"/>
        <v>1</v>
      </c>
      <c r="AG61" s="205">
        <f t="shared" si="15"/>
        <v>3</v>
      </c>
      <c r="AH61" s="205">
        <f t="shared" si="16"/>
        <v>5.7142857142857144</v>
      </c>
      <c r="AI61" s="205">
        <f t="shared" si="9"/>
        <v>8</v>
      </c>
      <c r="AJ61" s="205">
        <f t="shared" si="10"/>
        <v>16.666666666666668</v>
      </c>
      <c r="AK61" s="79">
        <f t="shared" si="17"/>
        <v>15.119915114843336</v>
      </c>
      <c r="AL61" s="79">
        <f t="shared" si="18"/>
        <v>28.799838313987308</v>
      </c>
      <c r="AM61" s="79">
        <f t="shared" si="11"/>
        <v>40.31977363958223</v>
      </c>
      <c r="AN61" s="79">
        <f t="shared" si="12"/>
        <v>83.99952841579632</v>
      </c>
      <c r="AO61" s="1" t="b">
        <f t="shared" si="24"/>
        <v>1</v>
      </c>
      <c r="AP61" s="1" t="b">
        <f t="shared" si="25"/>
        <v>0</v>
      </c>
      <c r="AQ61" s="1" t="b">
        <f t="shared" si="13"/>
        <v>0</v>
      </c>
      <c r="AR61" s="1" t="b">
        <f t="shared" si="14"/>
        <v>0</v>
      </c>
    </row>
    <row r="62" spans="1:44" s="64" customFormat="1" x14ac:dyDescent="0.2">
      <c r="A62" s="133">
        <v>42521</v>
      </c>
      <c r="B62" s="64" t="s">
        <v>237</v>
      </c>
      <c r="C62" s="87" t="s">
        <v>201</v>
      </c>
      <c r="D62" s="87" t="s">
        <v>279</v>
      </c>
      <c r="E62" s="87">
        <v>13</v>
      </c>
      <c r="F62" s="87" t="s">
        <v>276</v>
      </c>
      <c r="G62" s="76">
        <v>6550.7408577906299</v>
      </c>
      <c r="H62" s="67">
        <v>5.0133999999999999</v>
      </c>
      <c r="I62" s="55">
        <v>25.932953457415742</v>
      </c>
      <c r="J62" s="64">
        <f t="shared" si="21"/>
        <v>7.3505831332826919</v>
      </c>
      <c r="K62" s="88"/>
      <c r="M62" s="67"/>
      <c r="N62" s="65"/>
      <c r="O62" s="67"/>
      <c r="T62" s="67" t="s">
        <v>210</v>
      </c>
      <c r="U62" s="67"/>
      <c r="W62" s="81"/>
      <c r="AB62" s="64">
        <f t="shared" si="5"/>
        <v>2.3082569373037782E-5</v>
      </c>
      <c r="AC62" s="69">
        <f t="shared" si="6"/>
        <v>12.475701718593522</v>
      </c>
      <c r="AE62" s="67" t="b">
        <f t="shared" si="7"/>
        <v>0</v>
      </c>
      <c r="AF62" s="67" t="b">
        <f t="shared" si="8"/>
        <v>0</v>
      </c>
      <c r="AG62" s="205">
        <f t="shared" si="15"/>
        <v>3</v>
      </c>
      <c r="AH62" s="205">
        <f t="shared" si="16"/>
        <v>5.7142857142857144</v>
      </c>
      <c r="AI62" s="205">
        <f t="shared" si="9"/>
        <v>8</v>
      </c>
      <c r="AJ62" s="205">
        <f t="shared" si="10"/>
        <v>16.666666666666668</v>
      </c>
      <c r="AK62" s="79">
        <f t="shared" si="17"/>
        <v>49.902806874374086</v>
      </c>
      <c r="AL62" s="79">
        <f t="shared" si="18"/>
        <v>95.05296547499826</v>
      </c>
      <c r="AM62" s="79">
        <f t="shared" si="11"/>
        <v>133.07415166499757</v>
      </c>
      <c r="AN62" s="79">
        <f t="shared" si="12"/>
        <v>277.23781596874494</v>
      </c>
      <c r="AO62" s="1" t="b">
        <f t="shared" si="24"/>
        <v>0</v>
      </c>
      <c r="AP62" s="1" t="b">
        <f t="shared" si="25"/>
        <v>0</v>
      </c>
      <c r="AQ62" s="1" t="b">
        <f t="shared" si="13"/>
        <v>0</v>
      </c>
      <c r="AR62" s="1" t="b">
        <f t="shared" si="14"/>
        <v>0</v>
      </c>
    </row>
    <row r="63" spans="1:44" s="64" customFormat="1" x14ac:dyDescent="0.2">
      <c r="A63" s="133">
        <f>[9]Sieving!H123</f>
        <v>42549</v>
      </c>
      <c r="B63" s="64" t="s">
        <v>238</v>
      </c>
      <c r="C63" s="87" t="s">
        <v>201</v>
      </c>
      <c r="D63" s="87" t="s">
        <v>280</v>
      </c>
      <c r="E63" s="87">
        <v>11</v>
      </c>
      <c r="F63" s="87" t="s">
        <v>276</v>
      </c>
      <c r="G63" s="67">
        <v>233.910229924872</v>
      </c>
      <c r="H63" s="67">
        <v>5.1016000000000004</v>
      </c>
      <c r="I63" s="55">
        <v>20.212200040920209</v>
      </c>
      <c r="J63" s="64">
        <f t="shared" si="21"/>
        <v>0.23943910472767904</v>
      </c>
      <c r="K63" s="88"/>
      <c r="M63" s="67"/>
      <c r="N63" s="65"/>
      <c r="O63" s="67"/>
      <c r="T63" s="67" t="s">
        <v>210</v>
      </c>
      <c r="U63" s="67"/>
      <c r="W63" s="81"/>
      <c r="AB63" s="64">
        <f t="shared" si="5"/>
        <v>8.2421961523373131E-7</v>
      </c>
      <c r="AC63" s="69">
        <f t="shared" si="6"/>
        <v>0.4454754539709499</v>
      </c>
      <c r="AE63" s="67">
        <f t="shared" si="7"/>
        <v>1</v>
      </c>
      <c r="AF63" s="67">
        <f t="shared" si="8"/>
        <v>1</v>
      </c>
      <c r="AG63" s="205">
        <f t="shared" si="15"/>
        <v>3</v>
      </c>
      <c r="AH63" s="205">
        <f t="shared" si="16"/>
        <v>5.7142857142857144</v>
      </c>
      <c r="AI63" s="205">
        <f t="shared" si="9"/>
        <v>8</v>
      </c>
      <c r="AJ63" s="205">
        <f t="shared" si="10"/>
        <v>16.666666666666668</v>
      </c>
      <c r="AK63" s="79">
        <f t="shared" si="17"/>
        <v>1.7819018158837998</v>
      </c>
      <c r="AL63" s="79">
        <f t="shared" si="18"/>
        <v>3.3940986969215232</v>
      </c>
      <c r="AM63" s="79">
        <f t="shared" si="11"/>
        <v>4.7517381756901322</v>
      </c>
      <c r="AN63" s="79">
        <f t="shared" si="12"/>
        <v>9.8994545326877752</v>
      </c>
      <c r="AO63" s="1" t="b">
        <f t="shared" si="24"/>
        <v>0</v>
      </c>
      <c r="AP63" s="1" t="b">
        <f t="shared" si="25"/>
        <v>0</v>
      </c>
      <c r="AQ63" s="1" t="b">
        <f t="shared" si="13"/>
        <v>0</v>
      </c>
      <c r="AR63" s="1" t="b">
        <f t="shared" si="14"/>
        <v>0</v>
      </c>
    </row>
    <row r="64" spans="1:44" s="64" customFormat="1" x14ac:dyDescent="0.2">
      <c r="A64" s="133">
        <f>[9]Sieving!H124</f>
        <v>42563</v>
      </c>
      <c r="B64" s="64" t="s">
        <v>266</v>
      </c>
      <c r="C64" s="87" t="s">
        <v>201</v>
      </c>
      <c r="D64" s="87" t="s">
        <v>280</v>
      </c>
      <c r="E64" s="87">
        <v>12</v>
      </c>
      <c r="F64" s="87" t="s">
        <v>276</v>
      </c>
      <c r="G64" s="67">
        <v>657.493481047047</v>
      </c>
      <c r="H64" s="67">
        <v>5.2573999999999996</v>
      </c>
      <c r="I64" s="55">
        <v>18.781441977823402</v>
      </c>
      <c r="J64" s="64">
        <f t="shared" si="21"/>
        <v>0.64158457498491972</v>
      </c>
      <c r="K64" s="88"/>
      <c r="M64" s="67"/>
      <c r="N64" s="65"/>
      <c r="O64" s="67"/>
      <c r="T64" s="67" t="s">
        <v>210</v>
      </c>
      <c r="U64" s="67"/>
      <c r="W64" s="81"/>
      <c r="AB64" s="64">
        <f t="shared" si="5"/>
        <v>2.3167820584047944E-6</v>
      </c>
      <c r="AC64" s="69">
        <f t="shared" si="6"/>
        <v>1.2521778420997109</v>
      </c>
      <c r="AE64" s="67">
        <f t="shared" si="7"/>
        <v>1</v>
      </c>
      <c r="AF64" s="67">
        <f t="shared" si="8"/>
        <v>1</v>
      </c>
      <c r="AG64" s="205">
        <f t="shared" si="15"/>
        <v>3</v>
      </c>
      <c r="AH64" s="205">
        <f t="shared" si="16"/>
        <v>5.7142857142857144</v>
      </c>
      <c r="AI64" s="205">
        <f t="shared" si="9"/>
        <v>8</v>
      </c>
      <c r="AJ64" s="205">
        <f t="shared" si="10"/>
        <v>16.666666666666668</v>
      </c>
      <c r="AK64" s="79">
        <f t="shared" si="17"/>
        <v>5.0087113683988438</v>
      </c>
      <c r="AL64" s="79">
        <f t="shared" si="18"/>
        <v>9.5404026064739877</v>
      </c>
      <c r="AM64" s="79">
        <f t="shared" si="11"/>
        <v>13.356563649063583</v>
      </c>
      <c r="AN64" s="79">
        <f t="shared" si="12"/>
        <v>27.826174268882468</v>
      </c>
      <c r="AO64" s="1" t="b">
        <f t="shared" si="24"/>
        <v>0</v>
      </c>
      <c r="AP64" s="1" t="b">
        <f t="shared" si="25"/>
        <v>0</v>
      </c>
      <c r="AQ64" s="1" t="b">
        <f t="shared" si="13"/>
        <v>1</v>
      </c>
      <c r="AR64" s="1" t="b">
        <f t="shared" si="14"/>
        <v>0</v>
      </c>
    </row>
    <row r="65" spans="1:44" s="64" customFormat="1" x14ac:dyDescent="0.2">
      <c r="A65" s="133">
        <f>[9]Sieving!H125</f>
        <v>42563</v>
      </c>
      <c r="B65" s="64" t="s">
        <v>267</v>
      </c>
      <c r="C65" s="87" t="s">
        <v>201</v>
      </c>
      <c r="D65" s="87" t="s">
        <v>280</v>
      </c>
      <c r="E65" s="87">
        <v>13</v>
      </c>
      <c r="F65" s="87" t="s">
        <v>276</v>
      </c>
      <c r="G65" s="67">
        <v>854.19765332130203</v>
      </c>
      <c r="H65" s="67">
        <v>5.0523999999999996</v>
      </c>
      <c r="I65" s="55">
        <v>18.954680780681414</v>
      </c>
      <c r="J65" s="64">
        <f t="shared" si="21"/>
        <v>0.86920350441330485</v>
      </c>
      <c r="K65" s="88"/>
      <c r="M65" s="67"/>
      <c r="N65" s="65"/>
      <c r="O65" s="67"/>
      <c r="T65" s="67" t="s">
        <v>210</v>
      </c>
      <c r="U65" s="67"/>
      <c r="W65" s="81"/>
      <c r="AB65" s="64">
        <f t="shared" si="5"/>
        <v>3.0099002569497173E-6</v>
      </c>
      <c r="AC65" s="69">
        <f t="shared" si="6"/>
        <v>1.6267954057265686</v>
      </c>
      <c r="AE65" s="67">
        <f t="shared" si="7"/>
        <v>1</v>
      </c>
      <c r="AF65" s="67">
        <f t="shared" si="8"/>
        <v>1</v>
      </c>
      <c r="AG65" s="205">
        <f t="shared" si="15"/>
        <v>3</v>
      </c>
      <c r="AH65" s="205">
        <f t="shared" si="16"/>
        <v>5.7142857142857144</v>
      </c>
      <c r="AI65" s="205">
        <f t="shared" si="9"/>
        <v>8</v>
      </c>
      <c r="AJ65" s="205">
        <f t="shared" si="10"/>
        <v>16.666666666666668</v>
      </c>
      <c r="AK65" s="79">
        <f t="shared" si="17"/>
        <v>6.5071816229062742</v>
      </c>
      <c r="AL65" s="79">
        <f t="shared" si="18"/>
        <v>12.394631662678618</v>
      </c>
      <c r="AM65" s="79">
        <f t="shared" si="11"/>
        <v>17.352484327750066</v>
      </c>
      <c r="AN65" s="79">
        <f t="shared" si="12"/>
        <v>36.15100901614597</v>
      </c>
      <c r="AO65" s="1" t="b">
        <f t="shared" si="24"/>
        <v>0</v>
      </c>
      <c r="AP65" s="1" t="b">
        <f t="shared" si="25"/>
        <v>1</v>
      </c>
      <c r="AQ65" s="1" t="b">
        <f t="shared" si="13"/>
        <v>0</v>
      </c>
      <c r="AR65" s="1" t="b">
        <f t="shared" si="14"/>
        <v>0</v>
      </c>
    </row>
    <row r="66" spans="1:44" hidden="1" x14ac:dyDescent="0.2">
      <c r="A66" s="133">
        <v>42458</v>
      </c>
      <c r="B66" s="1" t="s">
        <v>229</v>
      </c>
      <c r="C66" s="51" t="s">
        <v>199</v>
      </c>
      <c r="D66" s="51" t="s">
        <v>275</v>
      </c>
      <c r="E66" s="51">
        <v>3</v>
      </c>
      <c r="F66" s="51" t="s">
        <v>277</v>
      </c>
      <c r="G66" s="10">
        <v>10.2148790969656</v>
      </c>
      <c r="H66" s="12">
        <v>5.0378999999999996</v>
      </c>
      <c r="I66" s="54">
        <v>18.82803421408568</v>
      </c>
      <c r="J66" s="1">
        <f t="shared" si="21"/>
        <v>1.0407978409501251E-2</v>
      </c>
      <c r="K66" s="51"/>
      <c r="L66" s="1"/>
      <c r="N66" s="7"/>
      <c r="O66" s="8"/>
      <c r="P66" s="1">
        <v>0</v>
      </c>
      <c r="Q66" s="1">
        <v>0</v>
      </c>
      <c r="R66" s="1">
        <v>0</v>
      </c>
      <c r="S66"/>
      <c r="T66" s="9">
        <v>42.665257759185735</v>
      </c>
      <c r="U66" s="9">
        <f t="shared" ref="U66:U71" si="27">(T66-G66)/T66*100</f>
        <v>76.058086524119588</v>
      </c>
      <c r="V66" s="1">
        <f t="shared" ref="V66:V71" si="28">T66*$B$3*$B$1/($H66*(1-$I66%))</f>
        <v>4.347179025597294E-2</v>
      </c>
      <c r="W66" s="58" t="s">
        <v>256</v>
      </c>
      <c r="X66" s="1" t="s">
        <v>62</v>
      </c>
      <c r="Y66" s="46" t="s">
        <v>186</v>
      </c>
      <c r="AB66" s="64">
        <f t="shared" si="5"/>
        <v>3.5993738801694172E-8</v>
      </c>
      <c r="AC66" s="69">
        <f t="shared" si="6"/>
        <v>1.9453949938147867E-2</v>
      </c>
      <c r="AE66" s="67">
        <f t="shared" si="7"/>
        <v>1</v>
      </c>
      <c r="AF66" s="67">
        <f t="shared" si="8"/>
        <v>1</v>
      </c>
      <c r="AG66" s="205">
        <f t="shared" si="15"/>
        <v>3</v>
      </c>
      <c r="AH66" s="205">
        <f t="shared" si="16"/>
        <v>5.7142857142857144</v>
      </c>
      <c r="AI66" s="205">
        <f t="shared" si="9"/>
        <v>8</v>
      </c>
      <c r="AJ66" s="205">
        <f t="shared" si="10"/>
        <v>16.666666666666668</v>
      </c>
      <c r="AK66" s="79">
        <f t="shared" si="17"/>
        <v>7.7815799752591466E-2</v>
      </c>
      <c r="AL66" s="79">
        <f t="shared" si="18"/>
        <v>0.14822057095731708</v>
      </c>
      <c r="AM66" s="79">
        <f t="shared" si="11"/>
        <v>0.20750879934024391</v>
      </c>
      <c r="AN66" s="79">
        <f t="shared" si="12"/>
        <v>0.43230999862550817</v>
      </c>
      <c r="AO66" s="1" t="b">
        <f t="shared" si="24"/>
        <v>0</v>
      </c>
      <c r="AP66" s="1" t="b">
        <f t="shared" si="25"/>
        <v>0</v>
      </c>
      <c r="AQ66" s="1" t="b">
        <f t="shared" si="13"/>
        <v>0</v>
      </c>
      <c r="AR66" s="1" t="b">
        <f t="shared" si="14"/>
        <v>0</v>
      </c>
    </row>
    <row r="67" spans="1:44" hidden="1" x14ac:dyDescent="0.2">
      <c r="A67" s="133">
        <v>42458</v>
      </c>
      <c r="B67" s="1" t="s">
        <v>227</v>
      </c>
      <c r="C67" s="51" t="s">
        <v>199</v>
      </c>
      <c r="D67" s="51" t="s">
        <v>275</v>
      </c>
      <c r="E67" s="51">
        <v>5</v>
      </c>
      <c r="F67" s="51" t="s">
        <v>277</v>
      </c>
      <c r="G67" s="10">
        <v>16.1523445288205</v>
      </c>
      <c r="H67" s="12">
        <v>5.0027999999999997</v>
      </c>
      <c r="I67" s="54">
        <v>22.931657042998577</v>
      </c>
      <c r="J67" s="1">
        <f t="shared" si="21"/>
        <v>1.7455615430656771E-2</v>
      </c>
      <c r="K67" s="51"/>
      <c r="L67" s="1"/>
      <c r="N67" s="7"/>
      <c r="O67" s="8"/>
      <c r="P67" s="1">
        <v>0</v>
      </c>
      <c r="Q67" s="1">
        <v>0</v>
      </c>
      <c r="R67" s="1">
        <v>0</v>
      </c>
      <c r="S67"/>
      <c r="T67" s="9">
        <v>55.919131431493632</v>
      </c>
      <c r="U67" s="9">
        <f t="shared" si="27"/>
        <v>71.114815063591081</v>
      </c>
      <c r="V67" s="1">
        <f t="shared" si="28"/>
        <v>6.0431032271683643E-2</v>
      </c>
      <c r="W67" s="58" t="s">
        <v>256</v>
      </c>
      <c r="X67" s="1" t="s">
        <v>60</v>
      </c>
      <c r="Y67" s="46" t="s">
        <v>185</v>
      </c>
      <c r="AB67" s="64">
        <f t="shared" si="5"/>
        <v>5.6915335412833517E-8</v>
      </c>
      <c r="AC67" s="69">
        <f t="shared" si="6"/>
        <v>3.076168585693138E-2</v>
      </c>
      <c r="AE67" s="67">
        <f t="shared" si="7"/>
        <v>1</v>
      </c>
      <c r="AF67" s="67">
        <f t="shared" si="8"/>
        <v>1</v>
      </c>
      <c r="AG67" s="205">
        <f t="shared" si="15"/>
        <v>3</v>
      </c>
      <c r="AH67" s="205">
        <f t="shared" si="16"/>
        <v>5.7142857142857144</v>
      </c>
      <c r="AI67" s="205">
        <f t="shared" si="9"/>
        <v>8</v>
      </c>
      <c r="AJ67" s="205">
        <f t="shared" si="10"/>
        <v>16.666666666666668</v>
      </c>
      <c r="AK67" s="79">
        <f t="shared" si="17"/>
        <v>0.12304674342772552</v>
      </c>
      <c r="AL67" s="79">
        <f t="shared" si="18"/>
        <v>0.23437474938614386</v>
      </c>
      <c r="AM67" s="79">
        <f t="shared" si="11"/>
        <v>0.32812464914060141</v>
      </c>
      <c r="AN67" s="79">
        <f t="shared" si="12"/>
        <v>0.68359301904291969</v>
      </c>
      <c r="AO67" s="1" t="b">
        <f t="shared" si="24"/>
        <v>0</v>
      </c>
      <c r="AP67" s="1" t="b">
        <f t="shared" si="25"/>
        <v>0</v>
      </c>
      <c r="AQ67" s="1" t="b">
        <f t="shared" si="13"/>
        <v>0</v>
      </c>
      <c r="AR67" s="1" t="b">
        <f t="shared" si="14"/>
        <v>0</v>
      </c>
    </row>
    <row r="68" spans="1:44" hidden="1" x14ac:dyDescent="0.2">
      <c r="A68" s="133">
        <v>42458</v>
      </c>
      <c r="B68" s="1" t="s">
        <v>225</v>
      </c>
      <c r="C68" s="51" t="s">
        <v>199</v>
      </c>
      <c r="D68" s="51" t="s">
        <v>275</v>
      </c>
      <c r="E68" s="51">
        <v>7</v>
      </c>
      <c r="F68" s="51" t="s">
        <v>277</v>
      </c>
      <c r="G68" s="10">
        <v>46.2820789680381</v>
      </c>
      <c r="H68" s="12">
        <v>5.0575999999999999</v>
      </c>
      <c r="I68" s="54">
        <v>24.400692252875885</v>
      </c>
      <c r="J68" s="1">
        <f t="shared" si="21"/>
        <v>5.0435847169925954E-2</v>
      </c>
      <c r="K68" s="51"/>
      <c r="L68" s="1"/>
      <c r="N68" s="7"/>
      <c r="O68" s="8"/>
      <c r="P68" s="1">
        <v>0</v>
      </c>
      <c r="Q68" s="1">
        <v>0</v>
      </c>
      <c r="R68" s="1">
        <v>0</v>
      </c>
      <c r="S68"/>
      <c r="T68" s="9">
        <v>131.86429425368974</v>
      </c>
      <c r="U68" s="9">
        <f t="shared" si="27"/>
        <v>64.901735356049144</v>
      </c>
      <c r="V68" s="1">
        <f t="shared" si="28"/>
        <v>0.14369897680573365</v>
      </c>
      <c r="W68" s="58"/>
      <c r="X68" s="1" t="s">
        <v>58</v>
      </c>
      <c r="Y68" s="46" t="s">
        <v>184</v>
      </c>
      <c r="AB68" s="64">
        <f t="shared" si="5"/>
        <v>1.6308221034841258E-7</v>
      </c>
      <c r="AC68" s="69">
        <f t="shared" si="6"/>
        <v>8.8142917672425533E-2</v>
      </c>
      <c r="AE68" s="67">
        <f t="shared" si="7"/>
        <v>1</v>
      </c>
      <c r="AF68" s="67">
        <f t="shared" si="8"/>
        <v>1</v>
      </c>
      <c r="AG68" s="205">
        <f t="shared" si="15"/>
        <v>3</v>
      </c>
      <c r="AH68" s="205">
        <f t="shared" si="16"/>
        <v>5.7142857142857144</v>
      </c>
      <c r="AI68" s="205">
        <f t="shared" si="9"/>
        <v>8</v>
      </c>
      <c r="AJ68" s="205">
        <f t="shared" si="10"/>
        <v>16.666666666666668</v>
      </c>
      <c r="AK68" s="79">
        <f t="shared" si="17"/>
        <v>0.35257167068970213</v>
      </c>
      <c r="AL68" s="79">
        <f t="shared" si="18"/>
        <v>0.6715650870280041</v>
      </c>
      <c r="AM68" s="79">
        <f t="shared" si="11"/>
        <v>0.94019112183920572</v>
      </c>
      <c r="AN68" s="79">
        <f t="shared" si="12"/>
        <v>1.9587315038316786</v>
      </c>
      <c r="AO68" s="1" t="b">
        <f t="shared" si="24"/>
        <v>0</v>
      </c>
      <c r="AP68" s="1" t="b">
        <f t="shared" si="25"/>
        <v>0</v>
      </c>
      <c r="AQ68" s="1" t="b">
        <f t="shared" si="13"/>
        <v>0</v>
      </c>
      <c r="AR68" s="1" t="b">
        <f t="shared" si="14"/>
        <v>0</v>
      </c>
    </row>
    <row r="69" spans="1:44" x14ac:dyDescent="0.2">
      <c r="A69" s="133">
        <v>42458</v>
      </c>
      <c r="B69" s="1" t="s">
        <v>260</v>
      </c>
      <c r="C69" s="51" t="s">
        <v>201</v>
      </c>
      <c r="D69" s="51" t="s">
        <v>275</v>
      </c>
      <c r="E69" s="51">
        <v>11</v>
      </c>
      <c r="F69" s="51" t="s">
        <v>277</v>
      </c>
      <c r="G69" s="10">
        <v>110.50374221351601</v>
      </c>
      <c r="H69" s="12">
        <v>5.0941999999999998</v>
      </c>
      <c r="I69" s="32">
        <v>22.920257589599945</v>
      </c>
      <c r="J69" s="1">
        <f t="shared" si="21"/>
        <v>0.11725989415012446</v>
      </c>
      <c r="K69" s="51"/>
      <c r="L69" s="1"/>
      <c r="N69" s="7"/>
      <c r="O69" s="8"/>
      <c r="P69" s="1">
        <v>0</v>
      </c>
      <c r="Q69" s="1">
        <v>0</v>
      </c>
      <c r="R69" s="1">
        <v>0</v>
      </c>
      <c r="S69"/>
      <c r="T69" s="9">
        <v>336.69203040045039</v>
      </c>
      <c r="U69" s="9">
        <f t="shared" si="27"/>
        <v>67.179578892293208</v>
      </c>
      <c r="V69" s="1">
        <f t="shared" si="28"/>
        <v>0.35727723835508568</v>
      </c>
      <c r="W69" s="58"/>
      <c r="X69" s="1" t="s">
        <v>66</v>
      </c>
      <c r="Y69" s="46" t="s">
        <v>190</v>
      </c>
      <c r="AB69" s="64">
        <f t="shared" si="5"/>
        <v>3.8937737745956956E-7</v>
      </c>
      <c r="AC69" s="69">
        <f t="shared" si="6"/>
        <v>0.21045126903541433</v>
      </c>
      <c r="AE69" s="67">
        <f t="shared" si="7"/>
        <v>1</v>
      </c>
      <c r="AF69" s="67">
        <f t="shared" si="8"/>
        <v>1</v>
      </c>
      <c r="AG69" s="205">
        <f t="shared" si="15"/>
        <v>3</v>
      </c>
      <c r="AH69" s="205">
        <f t="shared" si="16"/>
        <v>5.7142857142857144</v>
      </c>
      <c r="AI69" s="205">
        <f t="shared" si="9"/>
        <v>8</v>
      </c>
      <c r="AJ69" s="205">
        <f t="shared" si="10"/>
        <v>16.666666666666668</v>
      </c>
      <c r="AK69" s="79">
        <f t="shared" si="17"/>
        <v>0.84180507614165734</v>
      </c>
      <c r="AL69" s="79">
        <f t="shared" si="18"/>
        <v>1.6034382402698235</v>
      </c>
      <c r="AM69" s="79">
        <f t="shared" si="11"/>
        <v>2.244813536377753</v>
      </c>
      <c r="AN69" s="79">
        <f t="shared" si="12"/>
        <v>4.6766948674536524</v>
      </c>
      <c r="AO69" s="1" t="b">
        <f t="shared" si="24"/>
        <v>0</v>
      </c>
      <c r="AP69" s="1" t="b">
        <f t="shared" si="25"/>
        <v>0</v>
      </c>
      <c r="AQ69" s="1" t="b">
        <f t="shared" si="13"/>
        <v>0</v>
      </c>
      <c r="AR69" s="1" t="b">
        <f t="shared" si="14"/>
        <v>0</v>
      </c>
    </row>
    <row r="70" spans="1:44" x14ac:dyDescent="0.2">
      <c r="A70" s="133">
        <v>42458</v>
      </c>
      <c r="B70" s="1" t="s">
        <v>262</v>
      </c>
      <c r="C70" s="51" t="s">
        <v>201</v>
      </c>
      <c r="D70" s="51" t="s">
        <v>275</v>
      </c>
      <c r="E70" s="51">
        <v>12</v>
      </c>
      <c r="F70" s="51" t="s">
        <v>277</v>
      </c>
      <c r="G70" s="10">
        <v>57.434787546704598</v>
      </c>
      <c r="H70" s="12">
        <v>5.0545999999999998</v>
      </c>
      <c r="I70" s="32">
        <v>22.834060598982326</v>
      </c>
      <c r="J70" s="1">
        <f t="shared" si="21"/>
        <v>6.1355194421851569E-2</v>
      </c>
      <c r="K70" s="51"/>
      <c r="L70" s="1"/>
      <c r="N70" s="7"/>
      <c r="O70" s="10"/>
      <c r="P70" s="1">
        <v>0</v>
      </c>
      <c r="Q70" s="1">
        <v>0</v>
      </c>
      <c r="R70" s="1">
        <v>0</v>
      </c>
      <c r="S70"/>
      <c r="T70" s="9">
        <v>187.58070674544052</v>
      </c>
      <c r="U70" s="9">
        <f t="shared" si="27"/>
        <v>69.381292701574353</v>
      </c>
      <c r="V70" s="1">
        <f t="shared" si="28"/>
        <v>0.20038466622333967</v>
      </c>
      <c r="W70" s="58"/>
      <c r="X70" s="1" t="s">
        <v>67</v>
      </c>
      <c r="Y70" s="46" t="s">
        <v>191</v>
      </c>
      <c r="AB70" s="64">
        <f t="shared" si="5"/>
        <v>2.0238053935469352E-7</v>
      </c>
      <c r="AC70" s="69">
        <f t="shared" si="6"/>
        <v>0.10938293748123376</v>
      </c>
      <c r="AE70" s="67">
        <f t="shared" si="7"/>
        <v>1</v>
      </c>
      <c r="AF70" s="67">
        <f t="shared" si="8"/>
        <v>1</v>
      </c>
      <c r="AG70" s="205">
        <f t="shared" si="15"/>
        <v>3</v>
      </c>
      <c r="AH70" s="205">
        <f t="shared" si="16"/>
        <v>5.7142857142857144</v>
      </c>
      <c r="AI70" s="205">
        <f t="shared" si="9"/>
        <v>8</v>
      </c>
      <c r="AJ70" s="205">
        <f t="shared" si="10"/>
        <v>16.666666666666668</v>
      </c>
      <c r="AK70" s="79">
        <f t="shared" si="17"/>
        <v>0.4375317499249351</v>
      </c>
      <c r="AL70" s="79">
        <f t="shared" si="18"/>
        <v>0.83339380938082863</v>
      </c>
      <c r="AM70" s="79">
        <f t="shared" si="11"/>
        <v>1.16675133313316</v>
      </c>
      <c r="AN70" s="79">
        <f t="shared" si="12"/>
        <v>2.4307319440274173</v>
      </c>
      <c r="AO70" s="1" t="b">
        <f t="shared" si="24"/>
        <v>0</v>
      </c>
      <c r="AP70" s="1" t="b">
        <f t="shared" si="25"/>
        <v>0</v>
      </c>
      <c r="AQ70" s="1" t="b">
        <f t="shared" si="13"/>
        <v>0</v>
      </c>
      <c r="AR70" s="1" t="b">
        <f t="shared" si="14"/>
        <v>0</v>
      </c>
    </row>
    <row r="71" spans="1:44" x14ac:dyDescent="0.2">
      <c r="A71" s="133">
        <v>42458</v>
      </c>
      <c r="B71" s="1" t="s">
        <v>264</v>
      </c>
      <c r="C71" s="51" t="s">
        <v>201</v>
      </c>
      <c r="D71" s="51" t="s">
        <v>275</v>
      </c>
      <c r="E71" s="51">
        <v>13</v>
      </c>
      <c r="F71" s="51" t="s">
        <v>277</v>
      </c>
      <c r="G71" s="10">
        <v>30.360050230193799</v>
      </c>
      <c r="H71" s="12">
        <v>5.0556999999999999</v>
      </c>
      <c r="I71" s="32">
        <v>24.38136572048581</v>
      </c>
      <c r="J71" s="1">
        <f t="shared" si="21"/>
        <v>3.3088807758133346E-2</v>
      </c>
      <c r="K71" s="51"/>
      <c r="L71" s="1"/>
      <c r="N71" s="7"/>
      <c r="O71" s="10"/>
      <c r="P71" s="1">
        <v>0</v>
      </c>
      <c r="Q71" s="1">
        <v>0</v>
      </c>
      <c r="R71" s="1">
        <v>0</v>
      </c>
      <c r="S71"/>
      <c r="T71" s="9">
        <v>86.99118268277789</v>
      </c>
      <c r="U71" s="9">
        <f t="shared" si="27"/>
        <v>65.099853463419649</v>
      </c>
      <c r="V71" s="1">
        <f t="shared" si="28"/>
        <v>9.4809939332064191E-2</v>
      </c>
      <c r="W71" s="58"/>
      <c r="X71" s="1" t="s">
        <v>69</v>
      </c>
      <c r="Y71" s="46" t="s">
        <v>192</v>
      </c>
      <c r="AB71" s="64">
        <f t="shared" si="5"/>
        <v>1.0697842897783549E-7</v>
      </c>
      <c r="AC71" s="69">
        <f t="shared" si="6"/>
        <v>5.781986176158399E-2</v>
      </c>
      <c r="AE71" s="67">
        <f t="shared" si="7"/>
        <v>1</v>
      </c>
      <c r="AF71" s="67">
        <f t="shared" si="8"/>
        <v>1</v>
      </c>
      <c r="AG71" s="205">
        <f t="shared" si="15"/>
        <v>3</v>
      </c>
      <c r="AH71" s="205">
        <f t="shared" si="16"/>
        <v>5.7142857142857144</v>
      </c>
      <c r="AI71" s="205">
        <f t="shared" si="9"/>
        <v>8</v>
      </c>
      <c r="AJ71" s="205">
        <f t="shared" si="10"/>
        <v>16.666666666666668</v>
      </c>
      <c r="AK71" s="79">
        <f t="shared" si="17"/>
        <v>0.23127944704633596</v>
      </c>
      <c r="AL71" s="79">
        <f t="shared" si="18"/>
        <v>0.44053228008825895</v>
      </c>
      <c r="AM71" s="79">
        <f t="shared" si="11"/>
        <v>0.6167451921235626</v>
      </c>
      <c r="AN71" s="79">
        <f t="shared" si="12"/>
        <v>1.2848858169240887</v>
      </c>
      <c r="AO71" s="1" t="b">
        <f t="shared" si="24"/>
        <v>0</v>
      </c>
      <c r="AP71" s="1" t="b">
        <f t="shared" si="25"/>
        <v>0</v>
      </c>
      <c r="AQ71" s="1" t="b">
        <f t="shared" si="13"/>
        <v>0</v>
      </c>
      <c r="AR71" s="1" t="b">
        <f t="shared" si="14"/>
        <v>0</v>
      </c>
    </row>
    <row r="72" spans="1:44" s="64" customFormat="1" hidden="1" x14ac:dyDescent="0.2">
      <c r="A72" s="133">
        <v>42521</v>
      </c>
      <c r="B72" s="64" t="s">
        <v>253</v>
      </c>
      <c r="C72" s="87" t="s">
        <v>200</v>
      </c>
      <c r="D72" s="87" t="s">
        <v>279</v>
      </c>
      <c r="E72" s="87">
        <v>8</v>
      </c>
      <c r="F72" s="87" t="s">
        <v>277</v>
      </c>
      <c r="G72" s="67">
        <v>109.987775670405</v>
      </c>
      <c r="H72" s="68">
        <v>5.048</v>
      </c>
      <c r="I72" s="68"/>
      <c r="J72" s="64">
        <f t="shared" si="21"/>
        <v>9.0784944260437317E-2</v>
      </c>
      <c r="K72" s="87"/>
      <c r="M72" s="67"/>
      <c r="N72" s="65"/>
      <c r="O72" s="67"/>
      <c r="T72" s="67" t="s">
        <v>210</v>
      </c>
      <c r="U72" s="67"/>
      <c r="W72" s="81"/>
      <c r="Y72" s="63"/>
      <c r="AB72" s="64">
        <f t="shared" si="5"/>
        <v>3.8755928790541445E-7</v>
      </c>
      <c r="AC72" s="69">
        <f t="shared" si="6"/>
        <v>0.20946862526605026</v>
      </c>
      <c r="AE72" s="67">
        <f t="shared" si="7"/>
        <v>1</v>
      </c>
      <c r="AF72" s="67">
        <f t="shared" si="8"/>
        <v>1</v>
      </c>
      <c r="AG72" s="205">
        <f t="shared" si="15"/>
        <v>3</v>
      </c>
      <c r="AH72" s="205">
        <f t="shared" si="16"/>
        <v>5.7142857142857144</v>
      </c>
      <c r="AI72" s="205">
        <f t="shared" si="9"/>
        <v>8</v>
      </c>
      <c r="AJ72" s="205">
        <f t="shared" si="10"/>
        <v>16.666666666666668</v>
      </c>
      <c r="AK72" s="79">
        <f t="shared" si="17"/>
        <v>0.83787450106420103</v>
      </c>
      <c r="AL72" s="79">
        <f t="shared" si="18"/>
        <v>1.5959514305984781</v>
      </c>
      <c r="AM72" s="79">
        <f t="shared" si="11"/>
        <v>2.2343320028378693</v>
      </c>
      <c r="AN72" s="79">
        <f t="shared" si="12"/>
        <v>4.6548583392455614</v>
      </c>
      <c r="AO72" s="1" t="b">
        <f t="shared" si="24"/>
        <v>0</v>
      </c>
      <c r="AP72" s="1" t="b">
        <f t="shared" ref="AP72:AP73" si="29">AND(AC72&lt;10,AL72&gt;10,AO72=FALSE)</f>
        <v>0</v>
      </c>
      <c r="AQ72" s="1" t="b">
        <f t="shared" si="13"/>
        <v>0</v>
      </c>
      <c r="AR72" s="1" t="b">
        <f t="shared" si="14"/>
        <v>0</v>
      </c>
    </row>
    <row r="73" spans="1:44" s="64" customFormat="1" x14ac:dyDescent="0.2">
      <c r="A73" s="133">
        <v>42521</v>
      </c>
      <c r="B73" s="64" t="s">
        <v>235</v>
      </c>
      <c r="C73" s="87" t="s">
        <v>201</v>
      </c>
      <c r="D73" s="87" t="s">
        <v>279</v>
      </c>
      <c r="E73" s="87">
        <v>13</v>
      </c>
      <c r="F73" s="87" t="s">
        <v>277</v>
      </c>
      <c r="G73" s="67">
        <v>97.507756645003994</v>
      </c>
      <c r="H73" s="67">
        <v>5.0926000000000009</v>
      </c>
      <c r="I73" s="87"/>
      <c r="J73" s="64">
        <f t="shared" si="21"/>
        <v>7.977895757651951E-2</v>
      </c>
      <c r="K73" s="87"/>
      <c r="M73" s="67"/>
      <c r="N73" s="65"/>
      <c r="O73" s="67"/>
      <c r="T73" s="67" t="s">
        <v>210</v>
      </c>
      <c r="U73" s="67"/>
      <c r="W73" s="81"/>
      <c r="AB73" s="64">
        <f t="shared" ref="AB73" si="30">G73/$C$2/10^6</f>
        <v>3.4358397103907031E-7</v>
      </c>
      <c r="AC73" s="69">
        <f t="shared" ref="AC73" si="31">AB73*$D$5*10^(-6)*$I$2*$D$2*10^9</f>
        <v>0.1857007800431533</v>
      </c>
      <c r="AE73" s="67">
        <f t="shared" ref="AE73" si="32">IF(AC73&lt;3, 1)</f>
        <v>1</v>
      </c>
      <c r="AF73" s="67">
        <f t="shared" ref="AF73" si="33">IF(AC73&lt;10, 1)</f>
        <v>1</v>
      </c>
      <c r="AG73" s="205">
        <f t="shared" si="15"/>
        <v>3</v>
      </c>
      <c r="AH73" s="205">
        <f t="shared" si="16"/>
        <v>5.7142857142857144</v>
      </c>
      <c r="AI73" s="205">
        <f t="shared" ref="AI73" si="34">400/50</f>
        <v>8</v>
      </c>
      <c r="AJ73" s="205">
        <f t="shared" ref="AJ73" si="35">500/30</f>
        <v>16.666666666666668</v>
      </c>
      <c r="AK73" s="79">
        <f t="shared" si="17"/>
        <v>0.74280312017261318</v>
      </c>
      <c r="AL73" s="79">
        <f t="shared" si="18"/>
        <v>1.4148630860430726</v>
      </c>
      <c r="AM73" s="79">
        <f t="shared" ref="AM73" si="36">$AC73*AI73*$F$5/$D$5</f>
        <v>1.9808083204603018</v>
      </c>
      <c r="AN73" s="79">
        <f t="shared" ref="AN73" si="37">$AC73*AJ73*$F$5/$D$5</f>
        <v>4.1266840009589627</v>
      </c>
      <c r="AO73" s="1" t="b">
        <f t="shared" si="24"/>
        <v>0</v>
      </c>
      <c r="AP73" s="1" t="b">
        <f t="shared" si="29"/>
        <v>0</v>
      </c>
      <c r="AQ73" s="1" t="b">
        <f>AND(AC73&lt;10,AM73&gt;10, AO73=FALSE, AP73=FALSE)</f>
        <v>0</v>
      </c>
      <c r="AR73" s="1" t="b">
        <f t="shared" ref="AR73" si="38">AND(AC73&lt;10,AN73&gt;10, AO73=FALSE, AP73=FALSE, AQ73=FALSE)</f>
        <v>0</v>
      </c>
    </row>
    <row r="74" spans="1:44" s="194" customFormat="1" ht="30" x14ac:dyDescent="0.2">
      <c r="A74" s="193"/>
      <c r="C74" s="195"/>
      <c r="D74" s="195"/>
      <c r="E74" s="195"/>
      <c r="F74" s="195"/>
      <c r="G74" s="196"/>
      <c r="H74" s="196"/>
      <c r="I74" s="195"/>
      <c r="K74" s="195"/>
      <c r="M74" s="196"/>
      <c r="N74" s="197"/>
      <c r="O74" s="196"/>
      <c r="T74" s="196"/>
      <c r="U74" s="196"/>
      <c r="W74" s="198"/>
      <c r="AD74" s="199" t="s">
        <v>547</v>
      </c>
      <c r="AE74" s="196">
        <f>COUNTIF(AE8:AE73, 1)</f>
        <v>42</v>
      </c>
      <c r="AF74" s="196">
        <f>COUNTIF(AF8:AF73, 1)</f>
        <v>53</v>
      </c>
      <c r="AG74" s="201"/>
      <c r="AH74" s="201"/>
      <c r="AI74" s="205"/>
      <c r="AJ74" s="205"/>
      <c r="AK74" s="11"/>
      <c r="AL74" s="11"/>
      <c r="AM74" s="11"/>
      <c r="AN74" s="11"/>
      <c r="AO74" s="196">
        <f>COUNTIF(AO8:AO73, TRUE)</f>
        <v>13</v>
      </c>
      <c r="AP74" s="196">
        <f>COUNTIF(AP8:AP73, TRUE)</f>
        <v>7</v>
      </c>
      <c r="AQ74" s="196">
        <f>COUNTIF(AQ8:AQ73, TRUE)</f>
        <v>5</v>
      </c>
      <c r="AR74" s="196">
        <f>COUNTIF(AR8:AR73, TRUE)</f>
        <v>2</v>
      </c>
    </row>
    <row r="75" spans="1:44" s="194" customFormat="1" x14ac:dyDescent="0.2">
      <c r="A75" s="193"/>
      <c r="C75" s="195"/>
      <c r="D75" s="195"/>
      <c r="E75" s="195"/>
      <c r="F75" s="195"/>
      <c r="G75" s="196"/>
      <c r="H75" s="196"/>
      <c r="I75" s="195"/>
      <c r="K75" s="195"/>
      <c r="M75" s="196"/>
      <c r="N75" s="197"/>
      <c r="O75" s="196"/>
      <c r="T75" s="196"/>
      <c r="U75" s="196"/>
      <c r="W75" s="198"/>
      <c r="AE75" s="196"/>
      <c r="AF75" s="196"/>
      <c r="AG75" s="201"/>
      <c r="AH75" s="201"/>
      <c r="AI75" s="201"/>
      <c r="AJ75" s="201"/>
    </row>
    <row r="76" spans="1:44" s="194" customFormat="1" x14ac:dyDescent="0.2">
      <c r="A76" s="193"/>
      <c r="C76" s="195"/>
      <c r="D76" s="195"/>
      <c r="E76" s="195"/>
      <c r="F76" s="195"/>
      <c r="G76" s="196"/>
      <c r="H76" s="196"/>
      <c r="I76" s="195"/>
      <c r="K76" s="195"/>
      <c r="M76" s="196"/>
      <c r="N76" s="197"/>
      <c r="O76" s="196"/>
      <c r="T76" s="196"/>
      <c r="U76" s="196"/>
      <c r="W76" s="198"/>
      <c r="AE76" s="196"/>
      <c r="AF76" s="196"/>
      <c r="AG76" s="201"/>
      <c r="AH76" s="201"/>
      <c r="AI76" s="201"/>
      <c r="AJ76" s="201"/>
      <c r="AN76" s="194" t="s">
        <v>555</v>
      </c>
      <c r="AO76" s="195">
        <f>SUM(AO74:AR74)*3/24</f>
        <v>3.375</v>
      </c>
    </row>
    <row r="77" spans="1:44" s="42" customFormat="1" x14ac:dyDescent="0.2">
      <c r="I77" s="89"/>
      <c r="K77" s="89"/>
      <c r="W77" s="83"/>
      <c r="AE77" s="48"/>
      <c r="AG77" s="204"/>
      <c r="AH77" s="204"/>
      <c r="AI77" s="204"/>
      <c r="AJ77" s="204"/>
    </row>
    <row r="78" spans="1:44" s="42" customFormat="1" x14ac:dyDescent="0.2">
      <c r="B78" s="92" t="s">
        <v>282</v>
      </c>
      <c r="C78" s="93" t="s">
        <v>199</v>
      </c>
      <c r="D78" s="93" t="s">
        <v>278</v>
      </c>
      <c r="E78" s="93" t="s">
        <v>284</v>
      </c>
      <c r="F78" s="93" t="s">
        <v>276</v>
      </c>
      <c r="G78" s="45"/>
      <c r="H78" s="45"/>
      <c r="I78" s="97"/>
      <c r="J78" s="42" t="e">
        <f>G78*$B$3*$B$1/($H78*(1-$I78%))</f>
        <v>#DIV/0!</v>
      </c>
      <c r="K78" s="89"/>
      <c r="M78" s="48"/>
      <c r="N78" s="44"/>
      <c r="O78" s="48"/>
      <c r="T78" s="48"/>
      <c r="U78" s="48"/>
      <c r="W78" s="83"/>
      <c r="Y78" s="43"/>
      <c r="AE78" s="48"/>
      <c r="AG78" s="204"/>
      <c r="AH78" s="204"/>
      <c r="AI78" s="204"/>
      <c r="AJ78" s="204"/>
    </row>
    <row r="79" spans="1:44" s="42" customFormat="1" x14ac:dyDescent="0.2">
      <c r="B79" s="92" t="s">
        <v>283</v>
      </c>
      <c r="C79" s="93" t="s">
        <v>199</v>
      </c>
      <c r="D79" s="93" t="s">
        <v>278</v>
      </c>
      <c r="E79" s="93" t="s">
        <v>285</v>
      </c>
      <c r="F79" s="93" t="s">
        <v>276</v>
      </c>
      <c r="G79" s="45"/>
      <c r="H79" s="45"/>
      <c r="I79" s="97"/>
      <c r="J79" s="42" t="e">
        <f>G79*$B$3*$B$1/($H79*(1-$I79%))</f>
        <v>#DIV/0!</v>
      </c>
      <c r="K79" s="89"/>
      <c r="M79" s="48"/>
      <c r="N79" s="44"/>
      <c r="O79" s="48"/>
      <c r="T79" s="48"/>
      <c r="U79" s="48"/>
      <c r="W79" s="83"/>
      <c r="Y79" s="43"/>
      <c r="AE79" s="48"/>
      <c r="AG79" s="204"/>
      <c r="AH79" s="204"/>
      <c r="AI79" s="204"/>
      <c r="AJ79" s="204"/>
    </row>
    <row r="80" spans="1:44" x14ac:dyDescent="0.2">
      <c r="B80" s="42" t="s">
        <v>273</v>
      </c>
      <c r="C80" s="89" t="s">
        <v>199</v>
      </c>
      <c r="D80" s="89" t="s">
        <v>275</v>
      </c>
      <c r="E80" s="89">
        <v>8</v>
      </c>
      <c r="F80" s="89" t="s">
        <v>276</v>
      </c>
      <c r="G80" s="45" t="e">
        <f>AVERAGE(M80:O80)</f>
        <v>#DIV/0!</v>
      </c>
      <c r="H80" s="45">
        <v>5.0305999999999997</v>
      </c>
      <c r="I80" s="97">
        <v>15.7031872292601</v>
      </c>
      <c r="J80" s="42" t="e">
        <f>G80*$B$3*$B$1/($H80*(1-$I80%))</f>
        <v>#DIV/0!</v>
      </c>
      <c r="K80" s="51"/>
      <c r="L80" s="42"/>
      <c r="M80" s="48"/>
      <c r="N80" s="44"/>
      <c r="O80" s="48"/>
      <c r="P80" s="42">
        <f t="shared" ref="P80:R81" si="39">M80*$B$3*$B$1/($H80*(1-$I80%))</f>
        <v>0</v>
      </c>
      <c r="Q80" s="42">
        <f t="shared" si="39"/>
        <v>0</v>
      </c>
      <c r="R80" s="42">
        <f t="shared" si="39"/>
        <v>0</v>
      </c>
      <c r="S80"/>
      <c r="T80" s="48" t="e">
        <v>#VALUE!</v>
      </c>
      <c r="U80" s="48" t="e">
        <f>(T80-G80)/T80*100</f>
        <v>#VALUE!</v>
      </c>
      <c r="V80" s="42" t="e">
        <f>T80*$B$3*$B$1/($H80*(1-$I80%))</f>
        <v>#VALUE!</v>
      </c>
      <c r="W80" s="58"/>
      <c r="X80" s="42" t="s">
        <v>56</v>
      </c>
      <c r="Y80" s="43" t="s">
        <v>183</v>
      </c>
    </row>
    <row r="81" spans="2:25" x14ac:dyDescent="0.2">
      <c r="B81" s="42" t="s">
        <v>268</v>
      </c>
      <c r="C81" s="89" t="s">
        <v>200</v>
      </c>
      <c r="D81" s="89" t="s">
        <v>275</v>
      </c>
      <c r="E81" s="89">
        <v>8</v>
      </c>
      <c r="F81" s="89" t="s">
        <v>276</v>
      </c>
      <c r="G81" s="10">
        <f>'[10]s-Metolachlor'!$F$45</f>
        <v>50.195766797454098</v>
      </c>
      <c r="H81" s="12">
        <v>5.0244999999999997</v>
      </c>
      <c r="I81" s="12"/>
      <c r="J81" s="1">
        <f>G81*$B$3*$B$1/($H81*(1-$I81%))</f>
        <v>4.1625839053184482E-2</v>
      </c>
      <c r="K81" s="51"/>
      <c r="L81" s="1"/>
      <c r="N81" s="7"/>
      <c r="O81" s="10"/>
      <c r="P81" s="1">
        <f t="shared" si="39"/>
        <v>0</v>
      </c>
      <c r="Q81" s="1">
        <f t="shared" si="39"/>
        <v>0</v>
      </c>
      <c r="R81" s="1">
        <f t="shared" si="39"/>
        <v>0</v>
      </c>
      <c r="S81"/>
      <c r="T81" s="9" t="e">
        <v>#VALUE!</v>
      </c>
      <c r="U81" s="9" t="e">
        <f>(T81-G81)/T81*100</f>
        <v>#VALUE!</v>
      </c>
      <c r="V81" s="1" t="e">
        <f>T81*$B$3*$B$1/($H81*(1-$I81%))</f>
        <v>#VALUE!</v>
      </c>
      <c r="W81" s="58"/>
      <c r="X81" s="42" t="s">
        <v>72</v>
      </c>
      <c r="Y81" s="43" t="s">
        <v>193</v>
      </c>
    </row>
    <row r="82" spans="2:25" x14ac:dyDescent="0.2">
      <c r="F82" s="10"/>
      <c r="M82" s="7"/>
    </row>
    <row r="83" spans="2:25" x14ac:dyDescent="0.2">
      <c r="F83" s="10"/>
      <c r="M83" s="7"/>
    </row>
    <row r="84" spans="2:25" x14ac:dyDescent="0.2">
      <c r="F84" s="10"/>
      <c r="I84" s="51" t="s">
        <v>548</v>
      </c>
      <c r="J84" s="1">
        <f>MEDIAN(J16,J18,J19,J39,J41,J42,J59)</f>
        <v>11.619827890683689</v>
      </c>
      <c r="M84" s="7"/>
    </row>
    <row r="85" spans="2:25" x14ac:dyDescent="0.2">
      <c r="F85" s="10"/>
      <c r="I85" s="51" t="s">
        <v>549</v>
      </c>
      <c r="J85" s="1">
        <f>AVERAGE(J16,J18,J19,J39,J41,J42,J59)</f>
        <v>14.197790304104895</v>
      </c>
      <c r="M85" s="7"/>
    </row>
    <row r="86" spans="2:25" x14ac:dyDescent="0.2">
      <c r="F86" s="10"/>
      <c r="M86" s="7"/>
    </row>
    <row r="87" spans="2:25" x14ac:dyDescent="0.2">
      <c r="F87" s="10"/>
      <c r="M87" s="7"/>
    </row>
    <row r="88" spans="2:25" x14ac:dyDescent="0.2">
      <c r="F88" s="10"/>
      <c r="M88" s="7"/>
    </row>
    <row r="89" spans="2:25" x14ac:dyDescent="0.2">
      <c r="F89" s="10"/>
      <c r="M89" s="7"/>
      <c r="N89" s="8"/>
    </row>
    <row r="90" spans="2:25" x14ac:dyDescent="0.2">
      <c r="F90" s="10"/>
      <c r="M90" s="7"/>
      <c r="N90" s="8"/>
    </row>
    <row r="91" spans="2:25" x14ac:dyDescent="0.2">
      <c r="F91" s="10"/>
      <c r="M91" s="7"/>
      <c r="N91" s="8"/>
    </row>
    <row r="92" spans="2:25" x14ac:dyDescent="0.2">
      <c r="F92" s="10"/>
      <c r="M92" s="7"/>
      <c r="N92" s="8"/>
    </row>
    <row r="93" spans="2:25" x14ac:dyDescent="0.2">
      <c r="F93" s="10"/>
      <c r="M93" s="7"/>
      <c r="N93" s="8"/>
    </row>
    <row r="94" spans="2:25" x14ac:dyDescent="0.25">
      <c r="F94" s="10"/>
      <c r="M94" s="7"/>
      <c r="N94" s="8"/>
    </row>
    <row r="95" spans="2:25" x14ac:dyDescent="0.25">
      <c r="F95" s="10"/>
      <c r="M95" s="7"/>
      <c r="N95" s="10"/>
    </row>
    <row r="96" spans="2:25" x14ac:dyDescent="0.25">
      <c r="F96" s="10"/>
      <c r="M96" s="7"/>
      <c r="N96" s="10"/>
    </row>
    <row r="97" spans="6:14" x14ac:dyDescent="0.25">
      <c r="F97" s="10"/>
      <c r="M97" s="7"/>
      <c r="N97" s="10"/>
    </row>
    <row r="98" spans="6:14" x14ac:dyDescent="0.25">
      <c r="F98" s="10"/>
      <c r="M98" s="7"/>
      <c r="N98" s="10"/>
    </row>
    <row r="99" spans="6:14" x14ac:dyDescent="0.25">
      <c r="F99" s="10"/>
      <c r="M99" s="7"/>
    </row>
    <row r="100" spans="6:14" x14ac:dyDescent="0.25">
      <c r="F100" s="10"/>
      <c r="M100" s="7"/>
      <c r="N100" s="10"/>
    </row>
    <row r="101" spans="6:14" x14ac:dyDescent="0.25">
      <c r="F101" s="10"/>
      <c r="M101" s="7"/>
    </row>
    <row r="102" spans="6:14" x14ac:dyDescent="0.25">
      <c r="F102" s="10"/>
      <c r="M102" s="7"/>
      <c r="N102" s="10"/>
    </row>
    <row r="103" spans="6:14" x14ac:dyDescent="0.25">
      <c r="F103" s="10"/>
      <c r="M103" s="7"/>
    </row>
    <row r="104" spans="6:14" x14ac:dyDescent="0.25">
      <c r="F104" s="10"/>
      <c r="M104" s="7"/>
    </row>
    <row r="105" spans="6:14" x14ac:dyDescent="0.25">
      <c r="F105" s="10"/>
      <c r="M105" s="7"/>
    </row>
    <row r="106" spans="6:14" x14ac:dyDescent="0.25">
      <c r="F106" s="10"/>
      <c r="M106" s="7"/>
    </row>
    <row r="107" spans="6:14" x14ac:dyDescent="0.25">
      <c r="F107" s="10"/>
      <c r="M107" s="7"/>
    </row>
    <row r="108" spans="6:14" x14ac:dyDescent="0.25">
      <c r="F108" s="10"/>
      <c r="M108" s="7"/>
    </row>
    <row r="109" spans="6:14" x14ac:dyDescent="0.25">
      <c r="M109" s="7"/>
    </row>
    <row r="110" spans="6:14" x14ac:dyDescent="0.25">
      <c r="F110" s="10"/>
      <c r="M110" s="7"/>
    </row>
    <row r="111" spans="6:14" x14ac:dyDescent="0.25">
      <c r="F111" s="10"/>
      <c r="M111" s="7"/>
      <c r="N111" s="8"/>
    </row>
    <row r="112" spans="6:14" x14ac:dyDescent="0.25">
      <c r="F112" s="10"/>
      <c r="M112" s="7"/>
      <c r="N112" s="8"/>
    </row>
    <row r="113" spans="6:14" x14ac:dyDescent="0.25">
      <c r="F113" s="10"/>
      <c r="M113" s="7"/>
      <c r="N113" s="8"/>
    </row>
    <row r="114" spans="6:14" x14ac:dyDescent="0.25">
      <c r="F114" s="10"/>
      <c r="M114" s="7"/>
      <c r="N114" s="8"/>
    </row>
    <row r="115" spans="6:14" x14ac:dyDescent="0.25">
      <c r="F115" s="10"/>
      <c r="M115" s="7"/>
      <c r="N115" s="8"/>
    </row>
    <row r="116" spans="6:14" x14ac:dyDescent="0.25">
      <c r="F116" s="10"/>
      <c r="M116" s="7"/>
      <c r="N116" s="8"/>
    </row>
    <row r="117" spans="6:14" x14ac:dyDescent="0.25">
      <c r="F117" s="10"/>
      <c r="M117" s="7"/>
      <c r="N117" s="8"/>
    </row>
    <row r="118" spans="6:14" x14ac:dyDescent="0.25">
      <c r="F118" s="10"/>
      <c r="M118" s="7"/>
      <c r="N118" s="8"/>
    </row>
    <row r="119" spans="6:14" x14ac:dyDescent="0.25">
      <c r="F119" s="10"/>
      <c r="M119" s="7"/>
      <c r="N119" s="8"/>
    </row>
    <row r="120" spans="6:14" x14ac:dyDescent="0.25">
      <c r="F120" s="10"/>
      <c r="M120" s="7"/>
      <c r="N120" s="8"/>
    </row>
    <row r="121" spans="6:14" x14ac:dyDescent="0.25">
      <c r="F121" s="10"/>
      <c r="M121" s="7"/>
      <c r="N121" s="8"/>
    </row>
    <row r="122" spans="6:14" x14ac:dyDescent="0.25">
      <c r="F122" s="10"/>
      <c r="M122" s="7"/>
      <c r="N122" s="8"/>
    </row>
    <row r="123" spans="6:14" x14ac:dyDescent="0.25">
      <c r="F123" s="10"/>
      <c r="M123" s="7"/>
      <c r="N123" s="8"/>
    </row>
    <row r="124" spans="6:14" x14ac:dyDescent="0.25">
      <c r="F124" s="10"/>
      <c r="M124" s="7"/>
      <c r="N124" s="8"/>
    </row>
    <row r="125" spans="6:14" x14ac:dyDescent="0.25">
      <c r="F125" s="10"/>
      <c r="M125" s="7"/>
      <c r="N125" s="10"/>
    </row>
    <row r="126" spans="6:14" x14ac:dyDescent="0.25">
      <c r="F126" s="10"/>
      <c r="M126" s="7"/>
      <c r="N126" s="10"/>
    </row>
    <row r="127" spans="6:14" x14ac:dyDescent="0.25">
      <c r="F127" s="10"/>
      <c r="M127" s="7"/>
      <c r="N127" s="10"/>
    </row>
    <row r="128" spans="6:14" x14ac:dyDescent="0.25">
      <c r="F128" s="10"/>
      <c r="M128" s="7"/>
      <c r="N128" s="10"/>
    </row>
    <row r="129" spans="6:14" x14ac:dyDescent="0.25">
      <c r="F129" s="10"/>
      <c r="M129" s="7"/>
      <c r="N129" s="10"/>
    </row>
    <row r="130" spans="6:14" x14ac:dyDescent="0.25">
      <c r="F130" s="10"/>
      <c r="M130" s="7"/>
      <c r="N130" s="10"/>
    </row>
    <row r="131" spans="6:14" x14ac:dyDescent="0.25">
      <c r="F131" s="10"/>
      <c r="M131" s="7"/>
      <c r="N131" s="10"/>
    </row>
    <row r="132" spans="6:14" x14ac:dyDescent="0.25">
      <c r="F132" s="10"/>
      <c r="M132" s="7"/>
      <c r="N132" s="10"/>
    </row>
    <row r="133" spans="6:14" x14ac:dyDescent="0.25">
      <c r="F133" s="10"/>
      <c r="M133" s="7"/>
      <c r="N133" s="10"/>
    </row>
    <row r="134" spans="6:14" x14ac:dyDescent="0.25">
      <c r="F134" s="10"/>
      <c r="M134" s="7"/>
      <c r="N134" s="10"/>
    </row>
    <row r="135" spans="6:14" x14ac:dyDescent="0.25">
      <c r="F135" s="10"/>
      <c r="M135" s="7"/>
      <c r="N135" s="10"/>
    </row>
    <row r="136" spans="6:14" x14ac:dyDescent="0.25">
      <c r="F136" s="10"/>
      <c r="M136" s="7"/>
      <c r="N136" s="10"/>
    </row>
    <row r="137" spans="6:14" x14ac:dyDescent="0.25">
      <c r="F137" s="10"/>
      <c r="M137" s="7"/>
      <c r="N137" s="10"/>
    </row>
    <row r="138" spans="6:14" x14ac:dyDescent="0.25">
      <c r="F138" s="10"/>
      <c r="M138" s="7"/>
      <c r="N138" s="10"/>
    </row>
    <row r="139" spans="6:14" x14ac:dyDescent="0.25">
      <c r="F139" s="10"/>
      <c r="M139" s="7"/>
      <c r="N139" s="10"/>
    </row>
    <row r="140" spans="6:14" x14ac:dyDescent="0.25">
      <c r="F140" s="10"/>
      <c r="M140" s="7"/>
      <c r="N140" s="10"/>
    </row>
    <row r="141" spans="6:14" x14ac:dyDescent="0.25">
      <c r="F141" s="10"/>
      <c r="M141" s="7"/>
      <c r="N141" s="10"/>
    </row>
    <row r="142" spans="6:14" x14ac:dyDescent="0.25">
      <c r="F142" s="10"/>
      <c r="M142" s="7"/>
      <c r="N142" s="10"/>
    </row>
    <row r="143" spans="6:14" x14ac:dyDescent="0.25">
      <c r="F143" s="10"/>
      <c r="M143" s="7"/>
      <c r="N143" s="10"/>
    </row>
    <row r="144" spans="6:14" x14ac:dyDescent="0.25">
      <c r="F144" s="10"/>
      <c r="M144" s="7"/>
      <c r="N144" s="10"/>
    </row>
    <row r="145" spans="6:14" x14ac:dyDescent="0.25">
      <c r="F145" s="10"/>
      <c r="M145" s="7"/>
      <c r="N145" s="10"/>
    </row>
    <row r="146" spans="6:14" x14ac:dyDescent="0.25">
      <c r="F146" s="10"/>
      <c r="M146" s="7"/>
      <c r="N146" s="10"/>
    </row>
    <row r="147" spans="6:14" x14ac:dyDescent="0.25">
      <c r="F147" s="10"/>
      <c r="M147" s="7"/>
    </row>
    <row r="148" spans="6:14" x14ac:dyDescent="0.25">
      <c r="F148" s="10"/>
      <c r="M148" s="7"/>
    </row>
    <row r="149" spans="6:14" x14ac:dyDescent="0.25">
      <c r="F149" s="10"/>
      <c r="M149" s="7"/>
    </row>
    <row r="150" spans="6:14" x14ac:dyDescent="0.25">
      <c r="F150" s="10"/>
      <c r="M150" s="7"/>
    </row>
    <row r="151" spans="6:14" x14ac:dyDescent="0.25">
      <c r="F151" s="10"/>
      <c r="M151" s="7"/>
    </row>
    <row r="152" spans="6:14" x14ac:dyDescent="0.25">
      <c r="F152" s="10"/>
      <c r="M152" s="7"/>
    </row>
    <row r="153" spans="6:14" x14ac:dyDescent="0.25">
      <c r="F153" s="10"/>
      <c r="M153" s="7"/>
    </row>
    <row r="154" spans="6:14" x14ac:dyDescent="0.25">
      <c r="F154" s="10"/>
      <c r="M154" s="7"/>
    </row>
    <row r="155" spans="6:14" x14ac:dyDescent="0.25">
      <c r="F155" s="10"/>
      <c r="M155" s="7"/>
    </row>
    <row r="156" spans="6:14" x14ac:dyDescent="0.25">
      <c r="F156" s="10"/>
      <c r="M156" s="7"/>
    </row>
    <row r="157" spans="6:14" x14ac:dyDescent="0.25">
      <c r="F157" s="10"/>
      <c r="M157" s="7"/>
    </row>
    <row r="158" spans="6:14" x14ac:dyDescent="0.25">
      <c r="F158" s="10"/>
      <c r="M158" s="7"/>
    </row>
  </sheetData>
  <autoFilter ref="A7:XFB73">
    <filterColumn colId="2">
      <filters>
        <filter val="S"/>
      </filters>
    </filterColumn>
  </autoFilter>
  <sortState ref="N7:P133">
    <sortCondition ref="N7"/>
  </sortState>
  <conditionalFormatting sqref="AC8:AC73">
    <cfRule type="cellIs" dxfId="6" priority="8" operator="lessThan">
      <formula>3</formula>
    </cfRule>
    <cfRule type="cellIs" dxfId="5" priority="9" operator="lessThan">
      <formula>10</formula>
    </cfRule>
  </conditionalFormatting>
  <conditionalFormatting sqref="AO8:AR73">
    <cfRule type="cellIs" dxfId="4" priority="7" operator="equal">
      <formula>TRUE</formula>
    </cfRule>
  </conditionalFormatting>
  <conditionalFormatting sqref="AK14:AL73">
    <cfRule type="cellIs" dxfId="3" priority="1" operator="lessThan">
      <formula>3</formula>
    </cfRule>
    <cfRule type="cellIs" dxfId="2" priority="2" operator="lessThan">
      <formula>10</formula>
    </cfRule>
  </conditionalFormatting>
  <conditionalFormatting sqref="AK9:AL13 AK8:AN8 AM9:AN73">
    <cfRule type="cellIs" dxfId="1" priority="3" operator="lessThan">
      <formula>3</formula>
    </cfRule>
    <cfRule type="cellIs" dxfId="0" priority="4" operator="lessThan">
      <formula>10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1"/>
  <sheetViews>
    <sheetView workbookViewId="0">
      <pane xSplit="2" ySplit="6" topLeftCell="C24" activePane="bottomRight" state="frozen"/>
      <selection pane="topRight" activeCell="B1" sqref="B1"/>
      <selection pane="bottomLeft" activeCell="A7" sqref="A7"/>
      <selection pane="bottomRight" activeCell="F45" sqref="F45"/>
    </sheetView>
  </sheetViews>
  <sheetFormatPr baseColWidth="10" defaultColWidth="10.85546875" defaultRowHeight="15" outlineLevelCol="1" x14ac:dyDescent="0.25"/>
  <cols>
    <col min="1" max="1" width="10.85546875" style="1"/>
    <col min="2" max="2" width="14" style="1" bestFit="1" customWidth="1"/>
    <col min="3" max="3" width="12.140625" style="1" customWidth="1" outlineLevel="1"/>
    <col min="4" max="5" width="12.140625" style="1" customWidth="1"/>
    <col min="6" max="6" width="10.85546875" style="1"/>
    <col min="7" max="7" width="14.140625" style="51" customWidth="1"/>
    <col min="8" max="8" width="15.140625" style="1" customWidth="1" outlineLevel="1"/>
    <col min="9" max="9" width="10.85546875" style="1"/>
    <col min="10" max="10" width="11.42578125" style="1" customWidth="1"/>
    <col min="11" max="11" width="10.85546875" style="1"/>
    <col min="12" max="12" width="10.85546875" style="51"/>
    <col min="13" max="13" width="14" style="1" customWidth="1" outlineLevel="1"/>
    <col min="14" max="14" width="11.42578125" style="1" customWidth="1" outlineLevel="1"/>
    <col min="15" max="17" width="14" style="1" customWidth="1" outlineLevel="1"/>
    <col min="18" max="18" width="14" style="1" customWidth="1"/>
    <col min="19" max="19" width="8.85546875" style="106" customWidth="1"/>
    <col min="20" max="20" width="18.85546875" style="1" customWidth="1"/>
    <col min="21" max="23" width="11.42578125" style="1" hidden="1" customWidth="1" outlineLevel="1"/>
    <col min="24" max="24" width="15.85546875" style="1" customWidth="1" collapsed="1"/>
    <col min="25" max="25" width="13.42578125" style="1" customWidth="1"/>
    <col min="26" max="16384" width="10.85546875" style="1"/>
  </cols>
  <sheetData>
    <row r="1" spans="1:30" x14ac:dyDescent="0.25">
      <c r="B1" s="16" t="s">
        <v>113</v>
      </c>
      <c r="C1" s="16"/>
      <c r="D1" s="17">
        <f>1/0.28</f>
        <v>3.5714285714285712</v>
      </c>
      <c r="G1" s="59" t="s">
        <v>133</v>
      </c>
      <c r="H1" s="16"/>
      <c r="I1" s="16"/>
      <c r="J1" s="18" t="s">
        <v>136</v>
      </c>
      <c r="K1" s="19">
        <f>AVERAGE(G2:V2)</f>
        <v>0.13220999999999999</v>
      </c>
      <c r="L1" s="18" t="s">
        <v>134</v>
      </c>
      <c r="S1" s="1"/>
    </row>
    <row r="2" spans="1:30" x14ac:dyDescent="0.25">
      <c r="B2" s="16" t="s">
        <v>114</v>
      </c>
      <c r="C2" s="16"/>
      <c r="D2" s="16">
        <v>1000</v>
      </c>
      <c r="E2" s="15"/>
      <c r="G2" s="51">
        <v>0.13120000000000001</v>
      </c>
      <c r="I2" s="1">
        <v>0.1328</v>
      </c>
      <c r="J2" s="1">
        <v>0.13220000000000001</v>
      </c>
      <c r="M2" s="1">
        <v>0.13109999999999999</v>
      </c>
      <c r="N2" s="1">
        <v>0.13189999999999999</v>
      </c>
      <c r="O2" s="1">
        <v>0.1333</v>
      </c>
      <c r="P2" s="1">
        <v>0.1313</v>
      </c>
      <c r="Q2" s="1">
        <v>0.1308</v>
      </c>
      <c r="S2" s="1"/>
      <c r="U2" s="1">
        <v>0.1333</v>
      </c>
      <c r="V2" s="1">
        <v>0.13420000000000001</v>
      </c>
      <c r="X2" s="1" t="s">
        <v>387</v>
      </c>
    </row>
    <row r="3" spans="1:30" x14ac:dyDescent="0.25">
      <c r="B3" s="16" t="s">
        <v>116</v>
      </c>
      <c r="C3" s="16"/>
      <c r="D3" s="16">
        <f>D2*(10^(-6))</f>
        <v>1E-3</v>
      </c>
      <c r="E3" s="15"/>
      <c r="G3" s="59" t="s">
        <v>133</v>
      </c>
      <c r="H3" s="16"/>
      <c r="I3" s="16"/>
      <c r="J3" s="18" t="s">
        <v>137</v>
      </c>
      <c r="K3" s="19">
        <f>AVERAGE(G4:V4)</f>
        <v>8.0066666666667174E-2</v>
      </c>
      <c r="L3" s="18" t="s">
        <v>134</v>
      </c>
      <c r="S3" s="1"/>
    </row>
    <row r="4" spans="1:30" x14ac:dyDescent="0.2">
      <c r="G4" s="15">
        <v>7.9799999999998761E-2</v>
      </c>
      <c r="H4" s="1">
        <v>8.0200000000001381E-2</v>
      </c>
      <c r="I4" s="1">
        <v>8.0200000000001381E-2</v>
      </c>
      <c r="J4" t="s">
        <v>138</v>
      </c>
      <c r="K4" t="s">
        <v>139</v>
      </c>
      <c r="L4" s="49"/>
      <c r="S4" s="1"/>
    </row>
    <row r="5" spans="1:30" s="22" customFormat="1" ht="51" x14ac:dyDescent="0.2">
      <c r="B5" s="533" t="s">
        <v>0</v>
      </c>
      <c r="C5" s="21" t="s">
        <v>1</v>
      </c>
      <c r="D5" s="21" t="s">
        <v>1</v>
      </c>
      <c r="E5" s="21" t="s">
        <v>1</v>
      </c>
      <c r="F5" s="21" t="s">
        <v>1</v>
      </c>
      <c r="G5" s="57" t="s">
        <v>1</v>
      </c>
      <c r="H5" s="21"/>
      <c r="I5" s="25" t="s">
        <v>147</v>
      </c>
      <c r="J5" s="25" t="s">
        <v>135</v>
      </c>
      <c r="K5" s="25" t="s">
        <v>148</v>
      </c>
      <c r="L5" s="25" t="s">
        <v>145</v>
      </c>
      <c r="M5" s="21" t="s">
        <v>132</v>
      </c>
      <c r="N5" s="21" t="s">
        <v>132</v>
      </c>
      <c r="O5" s="21" t="s">
        <v>132</v>
      </c>
      <c r="P5" s="21" t="s">
        <v>132</v>
      </c>
      <c r="Q5" s="21" t="s">
        <v>132</v>
      </c>
      <c r="R5" s="21"/>
      <c r="S5" s="21"/>
      <c r="T5" s="21" t="s">
        <v>132</v>
      </c>
      <c r="U5" s="21" t="s">
        <v>132</v>
      </c>
      <c r="V5" s="21" t="s">
        <v>132</v>
      </c>
      <c r="W5" s="21" t="s">
        <v>132</v>
      </c>
      <c r="X5" s="21" t="s">
        <v>442</v>
      </c>
      <c r="AD5" s="21" t="s">
        <v>132</v>
      </c>
    </row>
    <row r="6" spans="1:30" s="22" customFormat="1" ht="38.25" x14ac:dyDescent="0.2">
      <c r="B6" s="533"/>
      <c r="C6" s="23" t="s">
        <v>2</v>
      </c>
      <c r="D6" s="23" t="s">
        <v>106</v>
      </c>
      <c r="E6" s="23" t="s">
        <v>107</v>
      </c>
      <c r="F6" s="23" t="s">
        <v>108</v>
      </c>
      <c r="G6" s="40" t="s">
        <v>109</v>
      </c>
      <c r="H6" s="85" t="s">
        <v>112</v>
      </c>
      <c r="I6" s="26" t="s">
        <v>118</v>
      </c>
      <c r="J6" s="26"/>
      <c r="K6" s="26" t="s">
        <v>118</v>
      </c>
      <c r="L6" s="26" t="s">
        <v>146</v>
      </c>
      <c r="M6" s="23" t="s">
        <v>140</v>
      </c>
      <c r="N6" s="23" t="s">
        <v>123</v>
      </c>
      <c r="O6" s="23" t="s">
        <v>141</v>
      </c>
      <c r="P6" s="23" t="s">
        <v>142</v>
      </c>
      <c r="Q6" s="23" t="s">
        <v>143</v>
      </c>
      <c r="R6" s="23"/>
      <c r="S6" s="23"/>
      <c r="T6" s="23" t="s">
        <v>144</v>
      </c>
      <c r="U6" s="23" t="s">
        <v>144</v>
      </c>
      <c r="V6" s="23" t="s">
        <v>144</v>
      </c>
      <c r="W6" s="23" t="s">
        <v>144</v>
      </c>
      <c r="X6" s="23" t="s">
        <v>439</v>
      </c>
      <c r="AD6" s="23" t="s">
        <v>127</v>
      </c>
    </row>
    <row r="7" spans="1:30" s="131" customFormat="1" ht="27.95" x14ac:dyDescent="0.2">
      <c r="A7" s="128" t="s">
        <v>0</v>
      </c>
      <c r="B7" s="128" t="s">
        <v>0</v>
      </c>
      <c r="C7" s="130"/>
      <c r="D7" s="130"/>
      <c r="E7" s="130"/>
      <c r="F7" s="130"/>
      <c r="G7" s="130"/>
      <c r="H7" s="130"/>
      <c r="I7" s="129"/>
      <c r="J7" s="129"/>
      <c r="K7" s="129"/>
      <c r="L7" s="129" t="s">
        <v>391</v>
      </c>
      <c r="M7" s="130"/>
      <c r="N7" s="130"/>
      <c r="O7" s="130"/>
      <c r="P7" s="130"/>
      <c r="Q7" s="130"/>
      <c r="R7" s="130" t="s">
        <v>390</v>
      </c>
      <c r="S7" s="130" t="s">
        <v>432</v>
      </c>
      <c r="T7" s="130" t="s">
        <v>392</v>
      </c>
      <c r="U7" s="130" t="s">
        <v>392</v>
      </c>
      <c r="V7" s="130" t="s">
        <v>392</v>
      </c>
      <c r="W7" s="130" t="s">
        <v>392</v>
      </c>
      <c r="X7" s="130" t="s">
        <v>440</v>
      </c>
      <c r="Z7" s="130" t="s">
        <v>441</v>
      </c>
      <c r="AA7" s="130" t="s">
        <v>441</v>
      </c>
      <c r="AB7" s="130" t="s">
        <v>441</v>
      </c>
      <c r="AD7" s="130"/>
    </row>
    <row r="8" spans="1:30" x14ac:dyDescent="0.2">
      <c r="A8" s="127" t="s">
        <v>393</v>
      </c>
      <c r="B8" s="52" t="s">
        <v>328</v>
      </c>
      <c r="C8" s="4">
        <v>65.348304752238079</v>
      </c>
      <c r="D8" s="24">
        <v>39.803258261209201</v>
      </c>
      <c r="E8" s="24">
        <v>39.074267373730898</v>
      </c>
      <c r="F8" s="24">
        <v>37.109219009588202</v>
      </c>
      <c r="G8" s="60">
        <f>AVERAGE(D8:F8)</f>
        <v>38.662248214842769</v>
      </c>
      <c r="H8" s="15" t="s">
        <v>88</v>
      </c>
      <c r="I8" s="15">
        <v>0.85470000000000002</v>
      </c>
      <c r="J8" s="15">
        <v>8</v>
      </c>
      <c r="K8" s="15">
        <f>I8-J8*$K$3</f>
        <v>0.21416666666666262</v>
      </c>
      <c r="L8" s="51">
        <f>[11]MES_MO!P6</f>
        <v>53.444444444473845</v>
      </c>
      <c r="M8" s="20">
        <f>C8*$D$3*$D$1/$K8</f>
        <v>1.0897438257738628</v>
      </c>
      <c r="N8" s="20">
        <f>M8*$L8*10^(-3)</f>
        <v>5.8240753355279597E-2</v>
      </c>
      <c r="O8" s="20">
        <f t="shared" ref="O8:Q11" si="0">D8*$D$3*$D$1/$K8</f>
        <v>0.66375639123751995</v>
      </c>
      <c r="P8" s="20">
        <f t="shared" si="0"/>
        <v>0.65159978944521901</v>
      </c>
      <c r="Q8" s="20">
        <f t="shared" si="0"/>
        <v>0.61883077837002065</v>
      </c>
      <c r="R8" s="20"/>
      <c r="S8" s="106">
        <f>[11]MES_MO!R6</f>
        <v>0</v>
      </c>
      <c r="T8" s="106">
        <f t="shared" ref="T8:T16" si="1">G8*$D$3*$D$1/$K8</f>
        <v>0.64472898635091991</v>
      </c>
      <c r="U8" s="106">
        <f>D8*$D$3*$D$1/$K8</f>
        <v>0.66375639123751995</v>
      </c>
      <c r="V8" s="106">
        <f t="shared" ref="V8:W9" si="2">E8*$D$3*$D$1/$K8</f>
        <v>0.65159978944521901</v>
      </c>
      <c r="W8" s="106">
        <f t="shared" si="2"/>
        <v>0.61883077837002065</v>
      </c>
      <c r="X8" s="1">
        <f>STDEVA(U8:W8)</f>
        <v>2.3237547724546531E-2</v>
      </c>
      <c r="Z8" s="106">
        <f t="shared" ref="Z8:AB12" si="3">O8*$L8*10^(-3)</f>
        <v>3.5474091576158079E-2</v>
      </c>
      <c r="AA8" s="106">
        <f t="shared" si="3"/>
        <v>3.4824388747035862E-2</v>
      </c>
      <c r="AB8" s="106">
        <f t="shared" si="3"/>
        <v>3.3073067155127076E-2</v>
      </c>
      <c r="AC8" s="106"/>
      <c r="AD8" s="106">
        <f t="shared" ref="AD8:AD48" si="4">T8*$L8*10^(-3)</f>
        <v>3.4457182492773679E-2</v>
      </c>
    </row>
    <row r="9" spans="1:30" x14ac:dyDescent="0.2">
      <c r="A9" s="5" t="s">
        <v>394</v>
      </c>
      <c r="B9" s="52" t="s">
        <v>329</v>
      </c>
      <c r="C9" s="4">
        <v>84.279176812843474</v>
      </c>
      <c r="D9" s="24">
        <v>39.955304352746097</v>
      </c>
      <c r="E9" s="24">
        <v>47.773480667698998</v>
      </c>
      <c r="F9" s="24">
        <v>61.043676313977301</v>
      </c>
      <c r="G9" s="60">
        <f t="shared" ref="G9:G48" si="5">AVERAGE(D9:F9)</f>
        <v>49.590820444807463</v>
      </c>
      <c r="H9" s="15" t="s">
        <v>89</v>
      </c>
      <c r="I9" s="15">
        <v>2.7679999999999998</v>
      </c>
      <c r="J9" s="15">
        <v>17</v>
      </c>
      <c r="K9" s="15">
        <f>I9-J9*$K$3</f>
        <v>1.4068666666666578</v>
      </c>
      <c r="L9" s="51">
        <f>[11]MES_MO!P7</f>
        <v>62.499999999943157</v>
      </c>
      <c r="M9" s="20">
        <f>C9*$D$3*$D$1/$K9</f>
        <v>0.21394853341648443</v>
      </c>
      <c r="N9" s="20">
        <f>M9*$L9*10^(-3)</f>
        <v>1.3371783338518116E-2</v>
      </c>
      <c r="O9" s="20">
        <f t="shared" si="0"/>
        <v>0.10142931020152773</v>
      </c>
      <c r="P9" s="20">
        <f t="shared" si="0"/>
        <v>0.12127629281136219</v>
      </c>
      <c r="Q9" s="20">
        <f t="shared" si="0"/>
        <v>0.15496360448237984</v>
      </c>
      <c r="R9" s="20"/>
      <c r="S9" s="106">
        <f>[11]MES_MO!R7</f>
        <v>9.9999999999766942E-4</v>
      </c>
      <c r="T9" s="106">
        <f t="shared" si="1"/>
        <v>0.12588973583175658</v>
      </c>
      <c r="U9" s="106">
        <f>D9*$D$3*$D$1/$K9</f>
        <v>0.10142931020152773</v>
      </c>
      <c r="V9" s="106">
        <f t="shared" si="2"/>
        <v>0.12127629281136219</v>
      </c>
      <c r="W9" s="106">
        <f t="shared" si="2"/>
        <v>0.15496360448237984</v>
      </c>
      <c r="X9" s="1">
        <f>STDEVA(U9:W9)</f>
        <v>2.706368523342741E-2</v>
      </c>
      <c r="Z9" s="106">
        <f t="shared" si="3"/>
        <v>6.339331887589718E-3</v>
      </c>
      <c r="AA9" s="106">
        <f t="shared" si="3"/>
        <v>7.5797683007032433E-3</v>
      </c>
      <c r="AB9" s="106">
        <f t="shared" si="3"/>
        <v>9.6852252801399325E-3</v>
      </c>
      <c r="AC9" s="106"/>
      <c r="AD9" s="106">
        <f t="shared" si="4"/>
        <v>7.8681084894776307E-3</v>
      </c>
    </row>
    <row r="10" spans="1:30" x14ac:dyDescent="0.2">
      <c r="A10" s="5" t="s">
        <v>395</v>
      </c>
      <c r="B10" s="52" t="s">
        <v>330</v>
      </c>
      <c r="C10" s="4">
        <v>106.99345684101736</v>
      </c>
      <c r="D10" s="24">
        <v>74.038765029165305</v>
      </c>
      <c r="E10" s="24">
        <v>84.873978717706095</v>
      </c>
      <c r="F10" s="24">
        <v>124.821303980492</v>
      </c>
      <c r="G10" s="60">
        <f t="shared" si="5"/>
        <v>94.578015909121135</v>
      </c>
      <c r="H10" s="15" t="s">
        <v>97</v>
      </c>
      <c r="I10" s="15">
        <v>1.4957</v>
      </c>
      <c r="J10" s="15">
        <v>9</v>
      </c>
      <c r="K10" s="15">
        <f>I10-J10*$K$3</f>
        <v>0.77509999999999546</v>
      </c>
      <c r="L10" s="51">
        <f>[11]MES_MO!P8</f>
        <v>22.50000000003638</v>
      </c>
      <c r="M10" s="20">
        <f>C10*$D$3*$D$1/$K10</f>
        <v>0.49299379269503463</v>
      </c>
      <c r="N10" s="20">
        <f>M10*$L10*10^(-3)</f>
        <v>1.1092360335656214E-2</v>
      </c>
      <c r="O10" s="20">
        <f t="shared" si="0"/>
        <v>0.34114844641781583</v>
      </c>
      <c r="P10" s="20">
        <f t="shared" si="0"/>
        <v>0.3910738647442108</v>
      </c>
      <c r="Q10" s="20">
        <f t="shared" si="0"/>
        <v>0.57513917089266231</v>
      </c>
      <c r="R10" s="20"/>
      <c r="S10" s="106">
        <f>[11]MES_MO!R8</f>
        <v>-1.799999999995805E-3</v>
      </c>
      <c r="T10" s="106">
        <f t="shared" si="1"/>
        <v>0.43578716068489631</v>
      </c>
      <c r="U10" s="106">
        <f t="shared" ref="U10:U48" si="6">D10*$D$3*$D$1/$K10</f>
        <v>0.34114844641781583</v>
      </c>
      <c r="V10" s="106">
        <f t="shared" ref="V10:V48" si="7">E10*$D$3*$D$1/$K10</f>
        <v>0.3910738647442108</v>
      </c>
      <c r="W10" s="106">
        <f t="shared" ref="W10:W48" si="8">F10*$D$3*$D$1/$K10</f>
        <v>0.57513917089266231</v>
      </c>
      <c r="X10" s="1">
        <f t="shared" ref="X10:X48" si="9">STDEVA(U10:W10)</f>
        <v>0.12323706386666053</v>
      </c>
      <c r="Z10" s="106">
        <f t="shared" si="3"/>
        <v>7.6758400444132671E-3</v>
      </c>
      <c r="AA10" s="106">
        <f t="shared" si="3"/>
        <v>8.7991619567589704E-3</v>
      </c>
      <c r="AB10" s="106">
        <f t="shared" si="3"/>
        <v>1.2940631345105825E-2</v>
      </c>
      <c r="AC10" s="106"/>
      <c r="AD10" s="106">
        <f t="shared" si="4"/>
        <v>9.8052111154260206E-3</v>
      </c>
    </row>
    <row r="11" spans="1:30" x14ac:dyDescent="0.2">
      <c r="A11" s="5" t="s">
        <v>396</v>
      </c>
      <c r="B11" s="52" t="s">
        <v>331</v>
      </c>
      <c r="C11" s="4" t="e">
        <v>#VALUE!</v>
      </c>
      <c r="D11" s="1">
        <f>'[12]s-Metolachlor'!$F$6</f>
        <v>84.655063853025496</v>
      </c>
      <c r="E11" s="1">
        <f>'[12]s-Metolachlor'!$F$7</f>
        <v>95.231643177709401</v>
      </c>
      <c r="F11" s="1">
        <f>'[12]s-Metolachlor'!$F$8</f>
        <v>91.124248595861005</v>
      </c>
      <c r="G11" s="60">
        <f t="shared" si="5"/>
        <v>90.3369852088653</v>
      </c>
      <c r="H11" s="15" t="s">
        <v>90</v>
      </c>
      <c r="I11" s="15">
        <v>5.3879000000000001</v>
      </c>
      <c r="J11" s="15">
        <v>10</v>
      </c>
      <c r="K11" s="15">
        <f t="shared" ref="K11:K48" si="10">I11-J11*$K$1</f>
        <v>4.0658000000000003</v>
      </c>
      <c r="L11" s="51">
        <f>[11]MES_MO!P9</f>
        <v>22.50000000003638</v>
      </c>
      <c r="M11" s="20" t="e">
        <f>C11*$D$3*$D$1/$K11</f>
        <v>#VALUE!</v>
      </c>
      <c r="N11" s="20" t="e">
        <f>M11*$L11*10^(-3)</f>
        <v>#VALUE!</v>
      </c>
      <c r="O11" s="20">
        <f t="shared" si="0"/>
        <v>7.4361629632742704E-2</v>
      </c>
      <c r="P11" s="20">
        <f t="shared" si="0"/>
        <v>8.3652174565635826E-2</v>
      </c>
      <c r="Q11" s="20">
        <f t="shared" si="0"/>
        <v>8.004420900812087E-2</v>
      </c>
      <c r="R11" s="20"/>
      <c r="S11" s="106">
        <f>[11]MES_MO!R9</f>
        <v>-9.9999999999766942E-4</v>
      </c>
      <c r="T11" s="106">
        <f t="shared" si="1"/>
        <v>7.9352671068833133E-2</v>
      </c>
      <c r="U11" s="106">
        <f t="shared" si="6"/>
        <v>7.4361629632742704E-2</v>
      </c>
      <c r="V11" s="106">
        <f t="shared" si="7"/>
        <v>8.3652174565635826E-2</v>
      </c>
      <c r="W11" s="106">
        <f t="shared" si="8"/>
        <v>8.004420900812087E-2</v>
      </c>
      <c r="X11" s="1">
        <f t="shared" si="9"/>
        <v>4.6837191235846185E-3</v>
      </c>
      <c r="Z11" s="106">
        <f t="shared" si="3"/>
        <v>1.673136666739416E-3</v>
      </c>
      <c r="AA11" s="106">
        <f t="shared" si="3"/>
        <v>1.8821739277298493E-3</v>
      </c>
      <c r="AB11" s="106">
        <f t="shared" si="3"/>
        <v>1.8009947026856317E-3</v>
      </c>
      <c r="AC11" s="106"/>
      <c r="AD11" s="106">
        <f t="shared" si="4"/>
        <v>1.7854350990516323E-3</v>
      </c>
    </row>
    <row r="12" spans="1:30" x14ac:dyDescent="0.2">
      <c r="A12" s="5" t="s">
        <v>397</v>
      </c>
      <c r="B12" s="52" t="s">
        <v>332</v>
      </c>
      <c r="C12" s="4">
        <v>282.59807941606624</v>
      </c>
      <c r="D12" s="1">
        <f>'[12]s-Metolachlor'!F21</f>
        <v>55.445359027462203</v>
      </c>
      <c r="E12" s="1">
        <f>'[12]s-Metolachlor'!F22</f>
        <v>57.190702521511902</v>
      </c>
      <c r="F12" s="1">
        <f>'[12]s-Metolachlor'!F23</f>
        <v>55.070741425388299</v>
      </c>
      <c r="G12" s="60">
        <f t="shared" si="5"/>
        <v>55.902267658120799</v>
      </c>
      <c r="H12" s="15" t="s">
        <v>98</v>
      </c>
      <c r="I12" s="15">
        <v>5.2558999999999996</v>
      </c>
      <c r="J12" s="15">
        <v>10</v>
      </c>
      <c r="K12" s="15">
        <f t="shared" si="10"/>
        <v>3.9337999999999997</v>
      </c>
      <c r="L12" s="51">
        <f>[11]MES_MO!P10</f>
        <v>4.9999999999883471</v>
      </c>
      <c r="M12" s="20">
        <f>C12*$D$3*$D$1/$K12</f>
        <v>0.25656587906283473</v>
      </c>
      <c r="N12" s="2">
        <f>M12*$L12*10^(-3)</f>
        <v>1.282829395311184E-3</v>
      </c>
      <c r="O12" s="20">
        <f>D12*$D$3*$D$1/$K12</f>
        <v>5.0337876705423154E-2</v>
      </c>
      <c r="P12" s="20" t="e">
        <f>#REF!*$D$3*$D$1/$K12</f>
        <v>#REF!</v>
      </c>
      <c r="Q12" s="20" t="e">
        <f>#REF!*$D$3*$D$1/$K12</f>
        <v>#REF!</v>
      </c>
      <c r="R12" s="20"/>
      <c r="S12" s="106">
        <f>[11]MES_MO!R10</f>
        <v>-1.300000000000523E-3</v>
      </c>
      <c r="T12" s="106">
        <f t="shared" si="1"/>
        <v>5.0752696100935482E-2</v>
      </c>
      <c r="U12" s="106">
        <f t="shared" si="6"/>
        <v>5.0337876705423154E-2</v>
      </c>
      <c r="V12" s="106">
        <f t="shared" si="7"/>
        <v>5.1922443694493788E-2</v>
      </c>
      <c r="W12" s="106">
        <f t="shared" si="8"/>
        <v>4.9997767902889519E-2</v>
      </c>
      <c r="X12" s="1">
        <f t="shared" si="9"/>
        <v>1.0272052248050498E-3</v>
      </c>
      <c r="Z12" s="106">
        <f t="shared" si="3"/>
        <v>2.516893835265292E-4</v>
      </c>
      <c r="AA12" s="106" t="e">
        <f t="shared" si="3"/>
        <v>#REF!</v>
      </c>
      <c r="AB12" s="106" t="e">
        <f t="shared" si="3"/>
        <v>#REF!</v>
      </c>
      <c r="AC12" s="106"/>
      <c r="AD12" s="106">
        <f t="shared" si="4"/>
        <v>2.5376348050408601E-4</v>
      </c>
    </row>
    <row r="13" spans="1:30" x14ac:dyDescent="0.2">
      <c r="A13" s="5" t="s">
        <v>398</v>
      </c>
      <c r="B13" s="52" t="s">
        <v>333</v>
      </c>
      <c r="C13" s="3"/>
      <c r="D13" s="1">
        <f>[13]Sorted_Checked!$K$17</f>
        <v>50.525053449557298</v>
      </c>
      <c r="E13" s="1">
        <f>[13]Sorted_Checked!$K$18</f>
        <v>49.173016979869502</v>
      </c>
      <c r="F13" s="1">
        <f>[13]Sorted_Checked!$K$19</f>
        <v>49.062356607793802</v>
      </c>
      <c r="G13" s="60">
        <f t="shared" si="5"/>
        <v>49.586809012406867</v>
      </c>
      <c r="H13" s="52" t="s">
        <v>91</v>
      </c>
      <c r="I13" s="15">
        <f>[11]Extraction_filters!$L$11</f>
        <v>2.8267000000000002</v>
      </c>
      <c r="J13" s="15">
        <v>5</v>
      </c>
      <c r="K13" s="15">
        <f t="shared" si="10"/>
        <v>2.1656500000000003</v>
      </c>
      <c r="L13" s="51">
        <f>[11]MES_MO!P11</f>
        <v>197.50000000016144</v>
      </c>
      <c r="M13" s="20"/>
      <c r="N13" s="2"/>
      <c r="O13" s="20">
        <f>D13*$D$3*$D$1/$K13</f>
        <v>8.3322152454322992E-2</v>
      </c>
      <c r="P13" s="20"/>
      <c r="Q13" s="20"/>
      <c r="R13" s="20"/>
      <c r="S13" s="106">
        <f>[11]MES_MO!R11</f>
        <v>5.8000000000006935E-3</v>
      </c>
      <c r="T13" s="106">
        <f t="shared" si="1"/>
        <v>8.1774869657092172E-2</v>
      </c>
      <c r="U13" s="106">
        <f t="shared" si="6"/>
        <v>8.3322152454322992E-2</v>
      </c>
      <c r="V13" s="106">
        <f t="shared" si="7"/>
        <v>8.1092474677463208E-2</v>
      </c>
      <c r="W13" s="106">
        <f t="shared" si="8"/>
        <v>8.0909981839490275E-2</v>
      </c>
      <c r="X13" s="1">
        <f t="shared" si="9"/>
        <v>1.3430893305855383E-3</v>
      </c>
      <c r="Z13" s="106"/>
      <c r="AA13" s="106"/>
      <c r="AB13" s="106"/>
      <c r="AC13" s="106"/>
      <c r="AD13" s="106">
        <f t="shared" si="4"/>
        <v>1.6150536757288905E-2</v>
      </c>
    </row>
    <row r="14" spans="1:30" x14ac:dyDescent="0.2">
      <c r="A14" s="5" t="s">
        <v>399</v>
      </c>
      <c r="B14" s="52" t="s">
        <v>334</v>
      </c>
      <c r="C14" s="4">
        <v>453.16314076490147</v>
      </c>
      <c r="D14" s="1">
        <f>'[12]s-Metolachlor'!F24</f>
        <v>178.74114721061599</v>
      </c>
      <c r="E14" s="1">
        <f>'[12]s-Metolachlor'!F25</f>
        <v>175.459114135514</v>
      </c>
      <c r="F14" s="1">
        <f>'[12]s-Metolachlor'!F26</f>
        <v>194.71767928167799</v>
      </c>
      <c r="G14" s="60">
        <f t="shared" si="5"/>
        <v>182.97264687593599</v>
      </c>
      <c r="H14" s="15" t="s">
        <v>99</v>
      </c>
      <c r="I14" s="15">
        <v>5.2335000000000003</v>
      </c>
      <c r="J14" s="15">
        <v>10</v>
      </c>
      <c r="K14" s="15">
        <f t="shared" si="10"/>
        <v>3.9114000000000004</v>
      </c>
      <c r="L14" s="51">
        <f>[11]MES_MO!P12</f>
        <v>52.499999999966462</v>
      </c>
      <c r="M14" s="20">
        <f>C14*$D$3*$D$1/$K14</f>
        <v>0.41377506479676751</v>
      </c>
      <c r="N14" s="2">
        <f t="shared" ref="N14:N24" si="11">M14*$L14*10^(-3)</f>
        <v>2.1723190901816417E-2</v>
      </c>
      <c r="O14" s="20">
        <f>E12*$D$3*$D$1/$K14</f>
        <v>5.221979572669623E-2</v>
      </c>
      <c r="P14" s="20" t="e">
        <f>#REF!*$D$3*$D$1/$K14</f>
        <v>#REF!</v>
      </c>
      <c r="Q14" s="20" t="e">
        <f>#REF!*$D$3*$D$1/$K14</f>
        <v>#REF!</v>
      </c>
      <c r="R14" s="20"/>
      <c r="S14" s="106">
        <f>[11]MES_MO!R12</f>
        <v>5.9999999999860165E-4</v>
      </c>
      <c r="T14" s="106">
        <f t="shared" si="1"/>
        <v>0.16706901335650368</v>
      </c>
      <c r="U14" s="106">
        <f t="shared" si="6"/>
        <v>0.16320530757220281</v>
      </c>
      <c r="V14" s="106">
        <f t="shared" si="7"/>
        <v>0.16020854255282543</v>
      </c>
      <c r="W14" s="106">
        <f t="shared" si="8"/>
        <v>0.17779318994448276</v>
      </c>
      <c r="X14" s="1">
        <f t="shared" si="9"/>
        <v>9.4075035351021876E-3</v>
      </c>
      <c r="Z14" s="106">
        <f t="shared" ref="Z14:Z24" si="12">O14*$L14*10^(-3)</f>
        <v>2.7415392756498006E-3</v>
      </c>
      <c r="AA14" s="106" t="e">
        <f t="shared" ref="AA14:AA24" si="13">P14*$L14*10^(-3)</f>
        <v>#REF!</v>
      </c>
      <c r="AB14" s="106" t="e">
        <f t="shared" ref="AB14:AB24" si="14">Q14*$L14*10^(-3)</f>
        <v>#REF!</v>
      </c>
      <c r="AC14" s="106"/>
      <c r="AD14" s="106">
        <f t="shared" si="4"/>
        <v>8.7711232012108401E-3</v>
      </c>
    </row>
    <row r="15" spans="1:30" x14ac:dyDescent="0.2">
      <c r="A15" s="5" t="s">
        <v>400</v>
      </c>
      <c r="B15" s="52" t="s">
        <v>335</v>
      </c>
      <c r="C15" s="4">
        <v>51.612418948314257</v>
      </c>
      <c r="D15" s="1">
        <f>'[12]s-Metolachlor'!F33</f>
        <v>22.585633968857501</v>
      </c>
      <c r="E15" s="1">
        <f>'[12]s-Metolachlor'!F34</f>
        <v>22.270382887921699</v>
      </c>
      <c r="F15" s="1">
        <f>'[12]s-Metolachlor'!F35</f>
        <v>21.8127372721627</v>
      </c>
      <c r="G15" s="60">
        <f t="shared" si="5"/>
        <v>22.222918042980634</v>
      </c>
      <c r="H15" s="15" t="s">
        <v>102</v>
      </c>
      <c r="I15" s="15">
        <v>3.3340999999999998</v>
      </c>
      <c r="J15" s="15">
        <v>6</v>
      </c>
      <c r="K15" s="15">
        <f t="shared" si="10"/>
        <v>2.5408399999999998</v>
      </c>
      <c r="L15" s="51">
        <f>[11]MES_MO!P13</f>
        <v>137.499999999946</v>
      </c>
      <c r="M15" s="20">
        <f>C15*$D$3*$D$1/$K15</f>
        <v>7.254690089598359E-2</v>
      </c>
      <c r="N15" s="2">
        <f t="shared" si="11"/>
        <v>9.9751988731938256E-3</v>
      </c>
      <c r="O15" s="20">
        <f>F12*$D$3*$D$1/$K15</f>
        <v>7.7407951455576426E-2</v>
      </c>
      <c r="P15" s="20" t="e">
        <f>#REF!*$D$3*$D$1/$K15</f>
        <v>#REF!</v>
      </c>
      <c r="Q15" s="20" t="e">
        <f>#REF!*$D$3*$D$1/$K15</f>
        <v>#REF!</v>
      </c>
      <c r="R15" s="20"/>
      <c r="S15" s="106">
        <f>[11]MES_MO!R13</f>
        <v>1.5999999999962711E-3</v>
      </c>
      <c r="T15" s="106">
        <f t="shared" si="1"/>
        <v>3.1236742352614311E-2</v>
      </c>
      <c r="U15" s="106">
        <f t="shared" si="6"/>
        <v>3.1746579265205743E-2</v>
      </c>
      <c r="V15" s="106">
        <f t="shared" si="7"/>
        <v>3.1303459384525396E-2</v>
      </c>
      <c r="W15" s="106">
        <f t="shared" si="8"/>
        <v>3.0660188408111803E-2</v>
      </c>
      <c r="X15" s="1">
        <f t="shared" si="9"/>
        <v>5.4625968673753967E-4</v>
      </c>
      <c r="Z15" s="106">
        <f t="shared" si="12"/>
        <v>1.0643593325137578E-2</v>
      </c>
      <c r="AA15" s="106" t="e">
        <f t="shared" si="13"/>
        <v>#REF!</v>
      </c>
      <c r="AB15" s="106" t="e">
        <f t="shared" si="14"/>
        <v>#REF!</v>
      </c>
      <c r="AC15" s="106"/>
      <c r="AD15" s="106">
        <f t="shared" si="4"/>
        <v>4.2950520734827812E-3</v>
      </c>
    </row>
    <row r="16" spans="1:30" x14ac:dyDescent="0.2">
      <c r="A16" s="5" t="s">
        <v>401</v>
      </c>
      <c r="B16" s="52" t="s">
        <v>336</v>
      </c>
      <c r="C16" s="4">
        <v>252.64954228221561</v>
      </c>
      <c r="D16" s="1">
        <f>[13]Sorted_Checked!$K$26</f>
        <v>182.163591602639</v>
      </c>
      <c r="E16" s="1">
        <f>[13]Sorted_Checked!$K$27</f>
        <v>192.11141011975801</v>
      </c>
      <c r="F16" s="1">
        <f>[13]Sorted_Checked!$K$28</f>
        <v>187.92413800293301</v>
      </c>
      <c r="G16" s="60">
        <f t="shared" si="5"/>
        <v>187.39971324177668</v>
      </c>
      <c r="H16" s="15" t="s">
        <v>92</v>
      </c>
      <c r="I16" s="15">
        <v>1.4619999999999997</v>
      </c>
      <c r="J16" s="15">
        <v>3</v>
      </c>
      <c r="K16" s="15">
        <f t="shared" si="10"/>
        <v>1.0653699999999997</v>
      </c>
      <c r="L16" s="51">
        <f>[11]MES_MO!P14</f>
        <v>242.50000000005656</v>
      </c>
      <c r="M16" s="20">
        <f t="shared" ref="M16:M20" si="15">C17*$D$3*$D$1/$K16</f>
        <v>2.4719705331665178</v>
      </c>
      <c r="N16" s="20">
        <f t="shared" si="11"/>
        <v>0.59945285429302042</v>
      </c>
      <c r="O16" s="20">
        <f>D17*$D$3*$D$1/$K16</f>
        <v>9.4322957233190965E-2</v>
      </c>
      <c r="P16" s="20" t="e">
        <f>#REF!*$D$3*$D$1/$K16</f>
        <v>#REF!</v>
      </c>
      <c r="Q16" s="20" t="e">
        <f>#REF!*$D$3*$D$1/$K16</f>
        <v>#REF!</v>
      </c>
      <c r="R16" s="20"/>
      <c r="S16" s="106">
        <f>[11]MES_MO!R14</f>
        <v>2.0000000000024443E-3</v>
      </c>
      <c r="T16" s="106">
        <f t="shared" si="1"/>
        <v>0.62821807461182733</v>
      </c>
      <c r="U16" s="106">
        <f t="shared" si="6"/>
        <v>0.61066507947821969</v>
      </c>
      <c r="V16" s="106">
        <f t="shared" si="7"/>
        <v>0.64401304617094146</v>
      </c>
      <c r="W16" s="106">
        <f t="shared" si="8"/>
        <v>0.62997609818632105</v>
      </c>
      <c r="X16" s="1">
        <f t="shared" si="9"/>
        <v>1.6743348106071164E-2</v>
      </c>
      <c r="Z16" s="106">
        <f t="shared" si="12"/>
        <v>2.2873317129054143E-2</v>
      </c>
      <c r="AA16" s="106" t="e">
        <f t="shared" si="13"/>
        <v>#REF!</v>
      </c>
      <c r="AB16" s="106" t="e">
        <f t="shared" si="14"/>
        <v>#REF!</v>
      </c>
      <c r="AC16" s="106"/>
      <c r="AD16" s="106">
        <f t="shared" si="4"/>
        <v>0.15234288309340366</v>
      </c>
    </row>
    <row r="17" spans="1:32" x14ac:dyDescent="0.2">
      <c r="A17" s="5" t="s">
        <v>402</v>
      </c>
      <c r="B17" s="52" t="s">
        <v>337</v>
      </c>
      <c r="C17" s="4">
        <v>737.39770913749146</v>
      </c>
      <c r="D17" s="1">
        <f>[13]Sorted_Checked!$K$29</f>
        <v>28.136877705306901</v>
      </c>
      <c r="E17" s="1">
        <f>[13]Sorted_Checked!$K$30</f>
        <v>27.891302467628101</v>
      </c>
      <c r="F17" s="1">
        <f>[13]Sorted_Checked!$K$31</f>
        <v>30.079026594685999</v>
      </c>
      <c r="G17" s="60">
        <f t="shared" si="5"/>
        <v>28.702402255873665</v>
      </c>
      <c r="H17" s="15" t="s">
        <v>93</v>
      </c>
      <c r="I17" s="15">
        <v>6.952</v>
      </c>
      <c r="J17" s="15">
        <v>14</v>
      </c>
      <c r="K17" s="15">
        <f t="shared" si="10"/>
        <v>5.1010600000000004</v>
      </c>
      <c r="L17" s="51">
        <f>[11]MES_MO!P15</f>
        <v>24.999999999977263</v>
      </c>
      <c r="M17" s="20">
        <f t="shared" si="15"/>
        <v>7.6976417336552222E-2</v>
      </c>
      <c r="N17" s="20">
        <f t="shared" si="11"/>
        <v>1.9244104334120553E-3</v>
      </c>
      <c r="O17" s="20">
        <f>E17*$D$3*$D$1/$K17</f>
        <v>1.9527665725798796E-2</v>
      </c>
      <c r="P17" s="20" t="e">
        <f>#REF!*$D$3*$D$1/$K17</f>
        <v>#REF!</v>
      </c>
      <c r="Q17" s="20" t="e">
        <f>#REF!*$D$3*$D$1/$K17</f>
        <v>#REF!</v>
      </c>
      <c r="R17" s="20">
        <f>[11]MES_MO!Q15</f>
        <v>21.213203435597229</v>
      </c>
      <c r="S17" s="106">
        <f>[11]MES_MO!R15</f>
        <v>3.9999999999977831E-3</v>
      </c>
      <c r="T17" s="106">
        <f t="shared" ref="T17:T48" si="16">G17*$D$3*$D$1/$K17</f>
        <v>2.0095544746633654E-2</v>
      </c>
      <c r="U17" s="106">
        <f t="shared" si="6"/>
        <v>1.9699601445096634E-2</v>
      </c>
      <c r="V17" s="106">
        <f t="shared" si="7"/>
        <v>1.9527665725798796E-2</v>
      </c>
      <c r="W17" s="106">
        <f t="shared" si="8"/>
        <v>2.105936706900554E-2</v>
      </c>
      <c r="X17" s="1">
        <f t="shared" si="9"/>
        <v>8.391099896434104E-4</v>
      </c>
      <c r="Z17" s="106">
        <f t="shared" si="12"/>
        <v>4.8819164314452593E-4</v>
      </c>
      <c r="AA17" s="106" t="e">
        <f t="shared" si="13"/>
        <v>#REF!</v>
      </c>
      <c r="AB17" s="106" t="e">
        <f t="shared" si="14"/>
        <v>#REF!</v>
      </c>
      <c r="AC17" s="106"/>
      <c r="AD17" s="106">
        <f t="shared" si="4"/>
        <v>5.0238861866538443E-4</v>
      </c>
    </row>
    <row r="18" spans="1:32" x14ac:dyDescent="0.2">
      <c r="A18" s="5" t="s">
        <v>403</v>
      </c>
      <c r="B18" s="52" t="s">
        <v>338</v>
      </c>
      <c r="C18" s="4">
        <v>109.94517055726207</v>
      </c>
      <c r="D18" s="1">
        <f>[13]Sorted_Checked!$K$32</f>
        <v>36.093474936424698</v>
      </c>
      <c r="E18" s="1">
        <f>[13]Sorted_Checked!$K$33</f>
        <v>37.2298536513646</v>
      </c>
      <c r="F18" s="1">
        <f>[13]Sorted_Checked!$K$34</f>
        <v>36.564544257286201</v>
      </c>
      <c r="G18" s="60">
        <f t="shared" si="5"/>
        <v>36.629290948358495</v>
      </c>
      <c r="H18" s="15" t="s">
        <v>100</v>
      </c>
      <c r="I18" s="15">
        <v>7.7110000000000003</v>
      </c>
      <c r="J18" s="15">
        <v>14</v>
      </c>
      <c r="K18" s="15">
        <f t="shared" si="10"/>
        <v>5.8600600000000007</v>
      </c>
      <c r="L18" s="51">
        <f>[11]MES_MO!P16</f>
        <v>105.00000000003951</v>
      </c>
      <c r="M18" s="20" t="e">
        <f t="shared" si="15"/>
        <v>#VALUE!</v>
      </c>
      <c r="N18" s="2" t="e">
        <f t="shared" si="11"/>
        <v>#VALUE!</v>
      </c>
      <c r="O18" s="20">
        <f>F17*$D$3*$D$1/$K18</f>
        <v>1.8331739774169787E-2</v>
      </c>
      <c r="P18" s="20" t="e">
        <f>#REF!*$D$3*$D$1/$K18</f>
        <v>#REF!</v>
      </c>
      <c r="Q18" s="20" t="e">
        <f>#REF!*$D$3*$D$1/$K18</f>
        <v>#REF!</v>
      </c>
      <c r="R18" s="20">
        <f>[11]MES_MO!Q16</f>
        <v>7.0710678118489954</v>
      </c>
      <c r="S18" s="106">
        <f>[11]MES_MO!R16</f>
        <v>7.0000000000050022E-3</v>
      </c>
      <c r="T18" s="106">
        <f t="shared" si="16"/>
        <v>2.2323815156182269E-2</v>
      </c>
      <c r="U18" s="106">
        <f t="shared" si="6"/>
        <v>2.1997260715775641E-2</v>
      </c>
      <c r="V18" s="106">
        <f t="shared" si="7"/>
        <v>2.2689829633244001E-2</v>
      </c>
      <c r="W18" s="106">
        <f t="shared" si="8"/>
        <v>2.2284355119527179E-2</v>
      </c>
      <c r="X18" s="1">
        <f t="shared" si="9"/>
        <v>3.4796658924448454E-4</v>
      </c>
      <c r="Z18" s="106">
        <f t="shared" si="12"/>
        <v>1.9248326762885519E-3</v>
      </c>
      <c r="AA18" s="106" t="e">
        <f t="shared" si="13"/>
        <v>#REF!</v>
      </c>
      <c r="AB18" s="106" t="e">
        <f t="shared" si="14"/>
        <v>#REF!</v>
      </c>
      <c r="AC18" s="106"/>
      <c r="AD18" s="106">
        <f t="shared" si="4"/>
        <v>2.3440005914000203E-3</v>
      </c>
    </row>
    <row r="19" spans="1:32" x14ac:dyDescent="0.2">
      <c r="A19" s="5" t="s">
        <v>404</v>
      </c>
      <c r="B19" s="52" t="s">
        <v>339</v>
      </c>
      <c r="C19" s="4" t="e">
        <v>#VALUE!</v>
      </c>
      <c r="D19" s="1">
        <f>[13]Sorted_Checked!$K$35</f>
        <v>23.860384082761801</v>
      </c>
      <c r="E19" s="1">
        <f>[13]Sorted_Checked!$K$36</f>
        <v>25.0589880046372</v>
      </c>
      <c r="F19" s="1">
        <f>[13]Sorted_Checked!$K$37</f>
        <v>25.634471948820099</v>
      </c>
      <c r="G19" s="60">
        <f t="shared" si="5"/>
        <v>24.851281345406363</v>
      </c>
      <c r="H19" s="15" t="s">
        <v>94</v>
      </c>
      <c r="I19" s="15">
        <v>3.6343000000000001</v>
      </c>
      <c r="J19" s="15">
        <v>7</v>
      </c>
      <c r="K19" s="15">
        <f t="shared" si="10"/>
        <v>2.7088299999999998</v>
      </c>
      <c r="L19" s="51">
        <f>[11]MES_MO!P17</f>
        <v>18.999999999991246</v>
      </c>
      <c r="M19" s="20">
        <f t="shared" si="15"/>
        <v>3.8539145985372773E-2</v>
      </c>
      <c r="N19" s="20">
        <f t="shared" si="11"/>
        <v>7.3224377372174535E-4</v>
      </c>
      <c r="O19" s="20">
        <f>F18*$D$3*$D$1/$K19</f>
        <v>4.8208140806819344E-2</v>
      </c>
      <c r="P19" s="20" t="e">
        <f>#REF!*$D$3*$D$1/$K19</f>
        <v>#REF!</v>
      </c>
      <c r="Q19" s="20" t="e">
        <f>#REF!*$D$3*$D$1/$K19</f>
        <v>#REF!</v>
      </c>
      <c r="R19" s="20">
        <f>[11]MES_MO!Q17</f>
        <v>1.4142135623697991</v>
      </c>
      <c r="S19" s="106">
        <f>[11]MES_MO!R17</f>
        <v>9.0000000000145519E-4</v>
      </c>
      <c r="T19" s="106">
        <f t="shared" si="16"/>
        <v>3.2764911874718659E-2</v>
      </c>
      <c r="U19" s="106">
        <f t="shared" si="6"/>
        <v>3.1458473746390506E-2</v>
      </c>
      <c r="V19" s="106">
        <f t="shared" si="7"/>
        <v>3.3038760546378748E-2</v>
      </c>
      <c r="W19" s="106">
        <f t="shared" si="8"/>
        <v>3.3797501331386745E-2</v>
      </c>
      <c r="X19" s="1">
        <f t="shared" si="9"/>
        <v>1.1933177833548063E-3</v>
      </c>
      <c r="Z19" s="106">
        <f t="shared" si="12"/>
        <v>9.1595467532914554E-4</v>
      </c>
      <c r="AA19" s="106" t="e">
        <f t="shared" si="13"/>
        <v>#REF!</v>
      </c>
      <c r="AB19" s="106" t="e">
        <f t="shared" si="14"/>
        <v>#REF!</v>
      </c>
      <c r="AC19" s="106"/>
      <c r="AD19" s="106">
        <f t="shared" si="4"/>
        <v>6.2253332561936772E-4</v>
      </c>
    </row>
    <row r="20" spans="1:32" x14ac:dyDescent="0.2">
      <c r="A20" s="5" t="s">
        <v>405</v>
      </c>
      <c r="B20" s="52" t="s">
        <v>340</v>
      </c>
      <c r="C20" s="4">
        <v>29.230878549476049</v>
      </c>
      <c r="D20" s="1">
        <f>[13]Sorted_Checked!$K$38</f>
        <v>29.9933186781603</v>
      </c>
      <c r="E20" s="1">
        <f>[13]Sorted_Checked!$K$39</f>
        <v>38.123282711788903</v>
      </c>
      <c r="F20" s="1">
        <f>[13]Sorted_Checked!$K$40</f>
        <v>38.5443987407794</v>
      </c>
      <c r="G20" s="60">
        <f t="shared" si="5"/>
        <v>35.553666710242872</v>
      </c>
      <c r="H20" s="15" t="s">
        <v>101</v>
      </c>
      <c r="I20" s="15">
        <v>5.0998999999999999</v>
      </c>
      <c r="J20" s="15">
        <v>9</v>
      </c>
      <c r="K20" s="15">
        <f t="shared" si="10"/>
        <v>3.9100099999999998</v>
      </c>
      <c r="L20" s="51">
        <f>[11]MES_MO!P18</f>
        <v>1647.4999999998909</v>
      </c>
      <c r="M20" s="20">
        <f t="shared" si="15"/>
        <v>0.1501693730116653</v>
      </c>
      <c r="N20" s="2">
        <f t="shared" si="11"/>
        <v>0.24740404203670222</v>
      </c>
      <c r="O20" s="20">
        <f>E20*$D$3*$D$1/$K20</f>
        <v>3.4822054448334354E-2</v>
      </c>
      <c r="P20" s="20" t="e">
        <f>#REF!*$D$3*$D$1/$K20</f>
        <v>#REF!</v>
      </c>
      <c r="Q20" s="20" t="e">
        <f>#REF!*$D$3*$D$1/$K20</f>
        <v>#REF!</v>
      </c>
      <c r="R20" s="20">
        <f>[11]MES_MO!Q18</f>
        <v>3.5355339059245381</v>
      </c>
      <c r="S20" s="106">
        <f>[11]MES_MO!R18</f>
        <v>2.9299999999999216E-2</v>
      </c>
      <c r="T20" s="106">
        <f t="shared" si="16"/>
        <v>3.2474950475321104E-2</v>
      </c>
      <c r="U20" s="106">
        <f t="shared" si="6"/>
        <v>2.739609240875188E-2</v>
      </c>
      <c r="V20" s="106">
        <f t="shared" si="7"/>
        <v>3.4822054448334354E-2</v>
      </c>
      <c r="W20" s="106">
        <f t="shared" si="8"/>
        <v>3.5206704568877062E-2</v>
      </c>
      <c r="X20" s="1">
        <f t="shared" si="9"/>
        <v>4.4026228971006361E-3</v>
      </c>
      <c r="Z20" s="106">
        <f t="shared" si="12"/>
        <v>5.7369334703627047E-2</v>
      </c>
      <c r="AA20" s="106" t="e">
        <f t="shared" si="13"/>
        <v>#REF!</v>
      </c>
      <c r="AB20" s="106" t="e">
        <f t="shared" si="14"/>
        <v>#REF!</v>
      </c>
      <c r="AC20" s="106"/>
      <c r="AD20" s="106">
        <f t="shared" si="4"/>
        <v>5.3502480908087978E-2</v>
      </c>
    </row>
    <row r="21" spans="1:32" x14ac:dyDescent="0.2">
      <c r="A21" s="5" t="s">
        <v>406</v>
      </c>
      <c r="B21" s="52" t="s">
        <v>341</v>
      </c>
      <c r="C21" s="4">
        <v>164.40585004741561</v>
      </c>
      <c r="D21" s="1">
        <f>[13]Sorted_Checked!$K$44</f>
        <v>342.13111663708798</v>
      </c>
      <c r="E21" s="1">
        <f>[13]Sorted_Checked!$K$45</f>
        <v>358.268636609726</v>
      </c>
      <c r="F21" s="1">
        <f>[13]Sorted_Checked!$K$46</f>
        <v>367.43094091579798</v>
      </c>
      <c r="G21" s="60">
        <f t="shared" si="5"/>
        <v>355.94356472087065</v>
      </c>
      <c r="H21" s="15" t="s">
        <v>103</v>
      </c>
      <c r="I21" s="15">
        <v>5.0118999999999998</v>
      </c>
      <c r="J21" s="15">
        <v>6</v>
      </c>
      <c r="K21" s="15">
        <f t="shared" si="10"/>
        <v>4.2186399999999997</v>
      </c>
      <c r="L21" s="51">
        <f>[11]MES_MO!P19</f>
        <v>9590.476190476169</v>
      </c>
      <c r="M21" s="20">
        <f>C22*$D$3*$D$1/$K21</f>
        <v>0.90974793008363875</v>
      </c>
      <c r="N21" s="2">
        <f t="shared" si="11"/>
        <v>8.7249158628021153</v>
      </c>
      <c r="O21" s="20">
        <f>F20*$D$3*$D$1/$K21</f>
        <v>3.2631029652057303E-2</v>
      </c>
      <c r="P21" s="20" t="e">
        <f>#REF!*$D$3*$D$1/$K21</f>
        <v>#REF!</v>
      </c>
      <c r="Q21" s="20" t="e">
        <f>#REF!*$D$3*$D$1/$K21</f>
        <v>#REF!</v>
      </c>
      <c r="R21" s="20">
        <f>[11]MES_MO!Q19</f>
        <v>0</v>
      </c>
      <c r="S21" s="106">
        <f>[11]MES_MO!R19</f>
        <v>0.1909999999999954</v>
      </c>
      <c r="T21" s="106">
        <f t="shared" si="16"/>
        <v>0.30133574252845763</v>
      </c>
      <c r="U21" s="106">
        <f t="shared" si="6"/>
        <v>0.28964235989144771</v>
      </c>
      <c r="V21" s="106">
        <f t="shared" si="7"/>
        <v>0.30330410867832663</v>
      </c>
      <c r="W21" s="106">
        <f t="shared" si="8"/>
        <v>0.31106075901559849</v>
      </c>
      <c r="X21" s="1">
        <f t="shared" si="9"/>
        <v>1.0844021589581899E-2</v>
      </c>
      <c r="Z21" s="106">
        <f t="shared" si="12"/>
        <v>0.31294711294877742</v>
      </c>
      <c r="AA21" s="106" t="e">
        <f t="shared" si="13"/>
        <v>#REF!</v>
      </c>
      <c r="AB21" s="106" t="e">
        <f t="shared" si="14"/>
        <v>#REF!</v>
      </c>
      <c r="AC21" s="106"/>
      <c r="AD21" s="106">
        <f t="shared" si="4"/>
        <v>2.8899532640586298</v>
      </c>
    </row>
    <row r="22" spans="1:32" x14ac:dyDescent="0.2">
      <c r="A22" s="5" t="s">
        <v>407</v>
      </c>
      <c r="B22" s="52" t="s">
        <v>342</v>
      </c>
      <c r="C22" s="4">
        <v>1074.6117221750517</v>
      </c>
      <c r="D22" s="1">
        <f>[13]Sorted_Checked!$K$47</f>
        <v>58.708811807134801</v>
      </c>
      <c r="E22" s="1">
        <f>[13]Sorted_Checked!$K$48</f>
        <v>63.510840433033202</v>
      </c>
      <c r="F22" s="1">
        <f>[13]Sorted_Checked!$K$49</f>
        <v>63.446334272363799</v>
      </c>
      <c r="G22" s="60">
        <f t="shared" si="5"/>
        <v>61.888662170843929</v>
      </c>
      <c r="H22" s="15" t="s">
        <v>105</v>
      </c>
      <c r="I22" s="15">
        <v>5.0289999999999999</v>
      </c>
      <c r="J22" s="15">
        <v>9</v>
      </c>
      <c r="K22" s="15">
        <f t="shared" si="10"/>
        <v>3.8391099999999998</v>
      </c>
      <c r="L22" s="51">
        <f>[11]MES_MO!P21</f>
        <v>425.00000000000426</v>
      </c>
      <c r="M22" s="20">
        <f>C51*$D$3*$D$1/$K22</f>
        <v>0.30795016215280552</v>
      </c>
      <c r="N22" s="2">
        <f t="shared" si="11"/>
        <v>0.13087881891494366</v>
      </c>
      <c r="O22" s="20">
        <f>F19*$D$3*$D$1/$K22</f>
        <v>2.3847111838811691E-2</v>
      </c>
      <c r="P22" s="20" t="e">
        <f>#REF!*$D$3*$D$1/$K22</f>
        <v>#REF!</v>
      </c>
      <c r="Q22" s="20" t="e">
        <f>#REF!*$D$3*$D$1/$K22</f>
        <v>#REF!</v>
      </c>
      <c r="R22" s="20">
        <f>[11]MES_MO!Q21</f>
        <v>1.4142135623697991</v>
      </c>
      <c r="S22" s="106">
        <f>[11]MES_MO!R21</f>
        <v>1.850000000000307E-2</v>
      </c>
      <c r="T22" s="106">
        <f>G22*$D$3*$D$1/$K22</f>
        <v>5.7573483522077411E-2</v>
      </c>
      <c r="U22" s="106">
        <f t="shared" si="6"/>
        <v>5.461534779743854E-2</v>
      </c>
      <c r="V22" s="106">
        <f t="shared" si="7"/>
        <v>5.9082555623041724E-2</v>
      </c>
      <c r="W22" s="106">
        <f t="shared" si="8"/>
        <v>5.9022547145751975E-2</v>
      </c>
      <c r="X22" s="1">
        <f t="shared" si="9"/>
        <v>2.5619963853165794E-3</v>
      </c>
      <c r="Z22" s="106">
        <f t="shared" si="12"/>
        <v>1.0135022531495069E-2</v>
      </c>
      <c r="AA22" s="106" t="e">
        <f t="shared" si="13"/>
        <v>#REF!</v>
      </c>
      <c r="AB22" s="106" t="e">
        <f t="shared" si="14"/>
        <v>#REF!</v>
      </c>
      <c r="AC22" s="106"/>
      <c r="AD22" s="106">
        <f t="shared" si="4"/>
        <v>2.4468730496883143E-2</v>
      </c>
    </row>
    <row r="23" spans="1:32" x14ac:dyDescent="0.2">
      <c r="A23" s="5" t="s">
        <v>408</v>
      </c>
      <c r="B23" s="52" t="s">
        <v>343</v>
      </c>
      <c r="C23" s="4">
        <v>862.64012767884685</v>
      </c>
      <c r="D23" s="1">
        <f>[13]Sorted_Checked!$K$50</f>
        <v>11.1010508470236</v>
      </c>
      <c r="E23" s="1">
        <f>[13]Sorted_Checked!$K$51</f>
        <v>10.147915208616601</v>
      </c>
      <c r="F23" s="1">
        <f>[13]Sorted_Checked!$K$52</f>
        <v>10.1447615521288</v>
      </c>
      <c r="G23" s="60">
        <f t="shared" si="5"/>
        <v>10.464575869256334</v>
      </c>
      <c r="H23" s="15" t="s">
        <v>95</v>
      </c>
      <c r="I23" s="15">
        <v>2.0209999999999999</v>
      </c>
      <c r="J23" s="15">
        <v>4</v>
      </c>
      <c r="K23" s="15">
        <f t="shared" si="10"/>
        <v>1.4921599999999999</v>
      </c>
      <c r="L23" s="51">
        <f>[11]MES_MO!P22</f>
        <v>121.00000000000222</v>
      </c>
      <c r="M23" s="20" t="e">
        <f>C24*$D$3*$D$1/$K23</f>
        <v>#VALUE!</v>
      </c>
      <c r="N23" s="20" t="e">
        <f t="shared" si="11"/>
        <v>#VALUE!</v>
      </c>
      <c r="O23" s="20">
        <f>F15*$D$3*$D$1/$K23</f>
        <v>5.2207962359845317E-2</v>
      </c>
      <c r="P23" s="20">
        <f>D24*$D$3*$D$1/$K23</f>
        <v>1.6435913738641658E-2</v>
      </c>
      <c r="Q23" s="20" t="e">
        <f>#REF!*$D$3*$D$1/$K23</f>
        <v>#REF!</v>
      </c>
      <c r="R23" s="20">
        <f>[11]MES_MO!Q22</f>
        <v>38.183766184085044</v>
      </c>
      <c r="S23" s="106">
        <f>[11]MES_MO!R22</f>
        <v>6.599999999998829E-3</v>
      </c>
      <c r="T23" s="106">
        <f t="shared" si="16"/>
        <v>2.5046566887829757E-2</v>
      </c>
      <c r="U23" s="106">
        <f t="shared" si="6"/>
        <v>2.6569945694792398E-2</v>
      </c>
      <c r="V23" s="106">
        <f t="shared" si="7"/>
        <v>2.4288651563162029E-2</v>
      </c>
      <c r="W23" s="106">
        <f t="shared" si="8"/>
        <v>2.4281103405534837E-2</v>
      </c>
      <c r="X23" s="1">
        <f t="shared" si="9"/>
        <v>1.3192901446604105E-3</v>
      </c>
      <c r="Z23" s="106">
        <f t="shared" si="12"/>
        <v>6.3171634455413996E-3</v>
      </c>
      <c r="AA23" s="106">
        <f t="shared" si="13"/>
        <v>1.9887455623756774E-3</v>
      </c>
      <c r="AB23" s="106" t="e">
        <f t="shared" si="14"/>
        <v>#REF!</v>
      </c>
      <c r="AC23" s="106"/>
      <c r="AD23" s="106">
        <f t="shared" si="4"/>
        <v>3.030634593427456E-3</v>
      </c>
    </row>
    <row r="24" spans="1:32" x14ac:dyDescent="0.2">
      <c r="A24" s="5" t="s">
        <v>409</v>
      </c>
      <c r="B24" s="52" t="s">
        <v>345</v>
      </c>
      <c r="C24" s="4" t="e">
        <v>#VALUE!</v>
      </c>
      <c r="D24" s="1">
        <f>[13]Sorted_Checked!$K$53</f>
        <v>6.8670036523904301</v>
      </c>
      <c r="E24" s="1">
        <f>[13]Sorted_Checked!$K$54</f>
        <v>7.2299573457404804</v>
      </c>
      <c r="F24" s="1">
        <f>[13]Sorted_Checked!$K$55</f>
        <v>7.2778902297178396</v>
      </c>
      <c r="G24" s="60">
        <f t="shared" si="5"/>
        <v>7.124950409282917</v>
      </c>
      <c r="H24" s="15" t="s">
        <v>96</v>
      </c>
      <c r="I24" s="15">
        <v>3.1459999999999999</v>
      </c>
      <c r="J24" s="15">
        <v>4</v>
      </c>
      <c r="K24" s="15">
        <f t="shared" si="10"/>
        <v>2.6171600000000002</v>
      </c>
      <c r="L24" s="51">
        <f>[11]MES_MO!P23</f>
        <v>17.750000000003041</v>
      </c>
      <c r="M24" s="20">
        <f>C25*$D$3*$D$1/$K24</f>
        <v>8.4045052662863832E-3</v>
      </c>
      <c r="N24" s="20">
        <f t="shared" si="11"/>
        <v>1.4917996847660888E-4</v>
      </c>
      <c r="O24" s="20" t="e">
        <f>#REF!*$D$3*$D$1/$K24</f>
        <v>#REF!</v>
      </c>
      <c r="P24" s="20">
        <f>E24*$D$3*$D$1/$K24</f>
        <v>9.8661435429195886E-3</v>
      </c>
      <c r="Q24" s="20" t="e">
        <f>#REF!*$D$3*$D$1/$K24</f>
        <v>#REF!</v>
      </c>
      <c r="R24" s="20">
        <f>[11]MES_MO!Q23</f>
        <v>8.1317279836389069</v>
      </c>
      <c r="S24" s="106">
        <f>[11]MES_MO!R23</f>
        <v>1.9999999999953388E-4</v>
      </c>
      <c r="T24" s="106">
        <f t="shared" si="16"/>
        <v>9.7228489896394182E-3</v>
      </c>
      <c r="U24" s="106">
        <f t="shared" si="6"/>
        <v>9.3708497165826826E-3</v>
      </c>
      <c r="V24" s="106">
        <f t="shared" si="7"/>
        <v>9.8661435429195886E-3</v>
      </c>
      <c r="W24" s="106">
        <f t="shared" si="8"/>
        <v>9.9315537094159852E-3</v>
      </c>
      <c r="X24" s="1">
        <f t="shared" si="9"/>
        <v>3.0658969102796761E-4</v>
      </c>
      <c r="Z24" s="106" t="e">
        <f t="shared" si="12"/>
        <v>#REF!</v>
      </c>
      <c r="AA24" s="106">
        <f t="shared" si="13"/>
        <v>1.7512404788685271E-4</v>
      </c>
      <c r="AB24" s="106" t="e">
        <f t="shared" si="14"/>
        <v>#REF!</v>
      </c>
      <c r="AC24" s="106"/>
      <c r="AD24" s="106">
        <f t="shared" si="4"/>
        <v>1.7258056956612924E-4</v>
      </c>
    </row>
    <row r="25" spans="1:32" x14ac:dyDescent="0.2">
      <c r="A25" s="5" t="s">
        <v>410</v>
      </c>
      <c r="B25" s="52" t="s">
        <v>346</v>
      </c>
      <c r="C25" s="4">
        <v>6.1588618007599409</v>
      </c>
      <c r="D25" s="1">
        <f>[13]Sorted_Checked!$K$56</f>
        <v>23.3322644730303</v>
      </c>
      <c r="G25" s="60">
        <f t="shared" si="5"/>
        <v>23.3322644730303</v>
      </c>
      <c r="I25" s="15">
        <f>[11]Extraction_filters!L24</f>
        <v>2.5629</v>
      </c>
      <c r="J25" s="1">
        <f>[11]Extraction_filters!$O$24</f>
        <v>3.9502157829839661</v>
      </c>
      <c r="K25" s="15">
        <f t="shared" si="10"/>
        <v>2.0406419713316897</v>
      </c>
      <c r="L25" s="51">
        <f>[11]MES_MO!P24</f>
        <v>11.797752808981228</v>
      </c>
      <c r="R25" s="20"/>
      <c r="S25" s="106">
        <f>[11]MES_MO!R24</f>
        <v>-1.300000000000523E-3</v>
      </c>
      <c r="T25" s="106">
        <f t="shared" si="16"/>
        <v>4.0834951522989958E-2</v>
      </c>
      <c r="U25" s="106">
        <f t="shared" si="6"/>
        <v>4.0834951522989958E-2</v>
      </c>
      <c r="V25" s="106">
        <f t="shared" si="7"/>
        <v>0</v>
      </c>
      <c r="W25" s="106">
        <f t="shared" si="8"/>
        <v>0</v>
      </c>
      <c r="X25" s="1">
        <f t="shared" si="9"/>
        <v>2.3576070254143572E-2</v>
      </c>
      <c r="Z25" s="106"/>
      <c r="AA25" s="106"/>
      <c r="AB25" s="106"/>
      <c r="AC25" s="106"/>
      <c r="AD25" s="106">
        <f t="shared" si="4"/>
        <v>4.8176066403496706E-4</v>
      </c>
    </row>
    <row r="26" spans="1:32" x14ac:dyDescent="0.2">
      <c r="A26" s="5" t="s">
        <v>411</v>
      </c>
      <c r="B26" s="52" t="s">
        <v>347</v>
      </c>
      <c r="C26" s="4" t="s">
        <v>210</v>
      </c>
      <c r="D26" s="1">
        <f>[13]Sorted_Checked!$K$57</f>
        <v>16.5716168023549</v>
      </c>
      <c r="G26" s="60">
        <f t="shared" si="5"/>
        <v>16.5716168023549</v>
      </c>
      <c r="I26" s="15">
        <f>[11]Extraction_filters!L25</f>
        <v>7.0925000000000002</v>
      </c>
      <c r="J26" s="1">
        <f>[11]Extraction_filters!$O$25</f>
        <v>17.947618512062089</v>
      </c>
      <c r="K26" s="15">
        <f t="shared" si="10"/>
        <v>4.719645356520271</v>
      </c>
      <c r="L26" s="51">
        <f>[11]MES_MO!P25</f>
        <v>6640.0000000000382</v>
      </c>
      <c r="R26" s="20">
        <f>[11]MES_MO!Q25</f>
        <v>4.7140452078989554</v>
      </c>
      <c r="S26" s="106">
        <f>[11]MES_MO!R25</f>
        <v>0.18769999999999953</v>
      </c>
      <c r="T26" s="106">
        <f t="shared" si="16"/>
        <v>1.2539998506653022E-2</v>
      </c>
      <c r="U26" s="106">
        <f t="shared" si="6"/>
        <v>1.2539998506653022E-2</v>
      </c>
      <c r="V26" s="106">
        <f t="shared" si="7"/>
        <v>0</v>
      </c>
      <c r="W26" s="106">
        <f t="shared" si="8"/>
        <v>0</v>
      </c>
      <c r="X26" s="1">
        <f t="shared" si="9"/>
        <v>7.2399715134536273E-3</v>
      </c>
      <c r="Z26" s="106"/>
      <c r="AA26" s="106"/>
      <c r="AB26" s="106"/>
      <c r="AC26" s="106"/>
      <c r="AD26" s="106">
        <f t="shared" si="4"/>
        <v>8.3265590084176541E-2</v>
      </c>
    </row>
    <row r="27" spans="1:32" x14ac:dyDescent="0.2">
      <c r="A27" s="5" t="s">
        <v>412</v>
      </c>
      <c r="B27" s="52" t="s">
        <v>348</v>
      </c>
      <c r="C27" s="4" t="s">
        <v>210</v>
      </c>
      <c r="D27" s="1">
        <f>[13]Sorted_Checked!$K$58</f>
        <v>235.379451370851</v>
      </c>
      <c r="G27" s="60">
        <f t="shared" si="5"/>
        <v>235.379451370851</v>
      </c>
      <c r="I27" s="15">
        <f>[11]Extraction_filters!L26</f>
        <v>7.3520000000000003</v>
      </c>
      <c r="J27" s="1">
        <f>[11]Extraction_filters!$O$26</f>
        <v>30.921770276503949</v>
      </c>
      <c r="K27" s="15">
        <f t="shared" si="10"/>
        <v>3.2638327517434131</v>
      </c>
      <c r="L27" s="51">
        <f>[11]MES_MO!P26</f>
        <v>632.5000000000357</v>
      </c>
      <c r="R27" s="20">
        <f>[11]MES_MO!Q26</f>
        <v>21.213203435546987</v>
      </c>
      <c r="S27" s="106">
        <f>[11]MES_MO!R26</f>
        <v>2.1300000000003649E-2</v>
      </c>
      <c r="T27" s="106">
        <f t="shared" si="16"/>
        <v>0.25756249222758165</v>
      </c>
      <c r="U27" s="106">
        <f t="shared" si="6"/>
        <v>0.25756249222758165</v>
      </c>
      <c r="V27" s="106">
        <f t="shared" si="7"/>
        <v>0</v>
      </c>
      <c r="W27" s="106">
        <f t="shared" si="8"/>
        <v>0</v>
      </c>
      <c r="X27" s="1">
        <f t="shared" si="9"/>
        <v>0.14870377422074516</v>
      </c>
      <c r="Z27" s="106"/>
      <c r="AA27" s="106"/>
      <c r="AB27" s="106"/>
      <c r="AC27" s="106"/>
      <c r="AD27" s="106">
        <f t="shared" si="4"/>
        <v>0.1629082763339546</v>
      </c>
    </row>
    <row r="28" spans="1:32" x14ac:dyDescent="0.2">
      <c r="A28" s="5" t="s">
        <v>413</v>
      </c>
      <c r="B28" s="52" t="s">
        <v>349</v>
      </c>
      <c r="C28" s="4" t="s">
        <v>210</v>
      </c>
      <c r="D28" s="1">
        <f>[13]Sorted_Checked!$K$59</f>
        <v>91.592909589067403</v>
      </c>
      <c r="G28" s="60">
        <f t="shared" si="5"/>
        <v>91.592909589067403</v>
      </c>
      <c r="I28" s="15">
        <f>[11]Extraction_filters!L27</f>
        <v>2.7118000000000002</v>
      </c>
      <c r="J28" s="1">
        <f>[11]Extraction_filters!O27</f>
        <v>5.9659003409965914</v>
      </c>
      <c r="K28" s="15">
        <f t="shared" si="10"/>
        <v>1.9230483159168408</v>
      </c>
      <c r="L28" s="51">
        <f>[11]MES_MO!P27</f>
        <v>162.33333333334582</v>
      </c>
      <c r="R28" s="20">
        <f>[11]MES_MO!Q27</f>
        <v>2.3570226039664197</v>
      </c>
      <c r="S28" s="106">
        <f>[11]MES_MO!R27</f>
        <v>-0.4786999999999999</v>
      </c>
      <c r="T28" s="106">
        <f t="shared" si="16"/>
        <v>0.17010364822306159</v>
      </c>
      <c r="U28" s="106">
        <f t="shared" si="6"/>
        <v>0.17010364822306159</v>
      </c>
      <c r="V28" s="106">
        <f t="shared" si="7"/>
        <v>0</v>
      </c>
      <c r="W28" s="106">
        <f t="shared" si="8"/>
        <v>0</v>
      </c>
      <c r="X28" s="1">
        <f t="shared" si="9"/>
        <v>9.8209387091722014E-2</v>
      </c>
      <c r="Z28" s="106"/>
      <c r="AA28" s="106"/>
      <c r="AB28" s="106"/>
      <c r="AC28" s="106"/>
      <c r="AD28" s="106">
        <f t="shared" si="4"/>
        <v>2.7613492228212459E-2</v>
      </c>
    </row>
    <row r="29" spans="1:32" x14ac:dyDescent="0.2">
      <c r="A29" s="5" t="s">
        <v>414</v>
      </c>
      <c r="B29" s="52" t="s">
        <v>350</v>
      </c>
      <c r="C29" s="4" t="s">
        <v>210</v>
      </c>
      <c r="D29" s="1">
        <f>[13]Sorted_Checked!$K$421</f>
        <v>73.007378358840597</v>
      </c>
      <c r="E29" s="1">
        <f>[13]Sorted_Checked!$K$422</f>
        <v>71.672081824531901</v>
      </c>
      <c r="F29" s="1">
        <f>[13]Sorted_Checked!$K$423</f>
        <v>72.927469924298293</v>
      </c>
      <c r="G29" s="60">
        <f t="shared" si="5"/>
        <v>72.535643369223592</v>
      </c>
      <c r="I29" s="15">
        <v>1.4375</v>
      </c>
      <c r="J29" s="1">
        <f>[11]Extraction_filters!O28</f>
        <v>4</v>
      </c>
      <c r="K29" s="15">
        <f t="shared" si="10"/>
        <v>0.90866000000000002</v>
      </c>
      <c r="L29" s="51">
        <f>[11]MES_MO!P28</f>
        <v>109.84251968502116</v>
      </c>
      <c r="R29" s="20">
        <f>[11]MES_MO!Q28</f>
        <v>28.39562664610666</v>
      </c>
      <c r="S29" s="106">
        <f>[11]MES_MO!R28</f>
        <v>7.1999999999974307E-3</v>
      </c>
      <c r="T29" s="106">
        <f t="shared" si="16"/>
        <v>0.28509659187792852</v>
      </c>
      <c r="U29" s="106">
        <f t="shared" si="6"/>
        <v>0.28695071533451372</v>
      </c>
      <c r="V29" s="106">
        <f t="shared" si="7"/>
        <v>0.28170241982908856</v>
      </c>
      <c r="W29" s="106">
        <f t="shared" si="8"/>
        <v>0.28663664047018328</v>
      </c>
      <c r="X29" s="1">
        <f t="shared" si="9"/>
        <v>2.9436310363131256E-3</v>
      </c>
      <c r="AD29" s="106">
        <f t="shared" si="4"/>
        <v>3.1315728005483809E-2</v>
      </c>
    </row>
    <row r="30" spans="1:32" s="29" customFormat="1" x14ac:dyDescent="0.2">
      <c r="A30" s="5" t="s">
        <v>415</v>
      </c>
      <c r="B30" s="123" t="s">
        <v>351</v>
      </c>
      <c r="C30" s="28"/>
      <c r="D30" s="29">
        <f>[13]Sorted_Checked!$K$424</f>
        <v>2461.49071665479</v>
      </c>
      <c r="E30" s="29">
        <f>[13]Sorted_Checked!$K$425</f>
        <v>2386.9650649755899</v>
      </c>
      <c r="F30" s="29">
        <f>[13]Sorted_Checked!$K$426</f>
        <v>2450.7317723798501</v>
      </c>
      <c r="G30" s="60">
        <f t="shared" si="5"/>
        <v>2433.0625180034099</v>
      </c>
      <c r="I30" s="30">
        <f>[11]Extraction_filters!L29</f>
        <v>5.2084000000000001</v>
      </c>
      <c r="J30" s="29">
        <f>[11]Extraction_filters!O29</f>
        <v>9.5256110465192236</v>
      </c>
      <c r="K30" s="30">
        <f t="shared" si="10"/>
        <v>3.9490189635396939</v>
      </c>
      <c r="L30" s="58">
        <f>[11]MES_MO!P29</f>
        <v>2027.0000000000009</v>
      </c>
      <c r="R30" s="20">
        <f>[11]MES_MO!Q29</f>
        <v>74.953318805750087</v>
      </c>
      <c r="S30" s="106">
        <f>[11]MES_MO!R29</f>
        <v>7.990000000000208E-2</v>
      </c>
      <c r="T30" s="125">
        <f t="shared" si="16"/>
        <v>2.2004221993101041</v>
      </c>
      <c r="U30" s="106">
        <f t="shared" si="6"/>
        <v>2.2261322001571955</v>
      </c>
      <c r="V30" s="106">
        <f t="shared" si="7"/>
        <v>2.1587324119645213</v>
      </c>
      <c r="W30" s="106">
        <f t="shared" si="8"/>
        <v>2.216401985808595</v>
      </c>
      <c r="X30" s="1">
        <f t="shared" si="9"/>
        <v>3.6430729398508561E-2</v>
      </c>
      <c r="AD30" s="125">
        <f t="shared" si="4"/>
        <v>4.4602557980015831</v>
      </c>
      <c r="AF30" s="29" t="s">
        <v>388</v>
      </c>
    </row>
    <row r="31" spans="1:32" x14ac:dyDescent="0.2">
      <c r="A31" s="5" t="s">
        <v>416</v>
      </c>
      <c r="B31" s="52" t="s">
        <v>352</v>
      </c>
      <c r="C31" s="4"/>
      <c r="D31" s="1">
        <f>[13]Sorted_Checked!$K$427</f>
        <v>37.619497154665602</v>
      </c>
      <c r="E31" s="1">
        <f>[13]Sorted_Checked!$K$428</f>
        <v>38.732535079826597</v>
      </c>
      <c r="F31" s="1">
        <f>[13]Sorted_Checked!$K$429</f>
        <v>38.112842786193099</v>
      </c>
      <c r="G31" s="60">
        <f t="shared" si="5"/>
        <v>38.154958340228433</v>
      </c>
      <c r="I31" s="15">
        <f>[11]Extraction_filters!L30</f>
        <v>5.2020999999999997</v>
      </c>
      <c r="J31" s="1">
        <f>[11]Extraction_filters!O30</f>
        <v>8.4147286536722365</v>
      </c>
      <c r="K31" s="15">
        <f t="shared" si="10"/>
        <v>4.0895887246979932</v>
      </c>
      <c r="L31" s="51">
        <f>[11]MES_MO!P30</f>
        <v>2242.9999999999945</v>
      </c>
      <c r="R31" s="20">
        <f>[11]MES_MO!Q30</f>
        <v>91.923881554288158</v>
      </c>
      <c r="S31" s="106">
        <f>[11]MES_MO!R30</f>
        <v>9.9399999999995714E-2</v>
      </c>
      <c r="T31" s="106">
        <f t="shared" si="16"/>
        <v>3.3320638707507622E-2</v>
      </c>
      <c r="U31" s="106">
        <f t="shared" si="6"/>
        <v>3.2853021666835312E-2</v>
      </c>
      <c r="V31" s="106">
        <f t="shared" si="7"/>
        <v>3.3825035166138259E-2</v>
      </c>
      <c r="W31" s="106">
        <f t="shared" si="8"/>
        <v>3.3283859289549293E-2</v>
      </c>
      <c r="X31" s="1">
        <f t="shared" si="9"/>
        <v>4.8704938650593238E-4</v>
      </c>
      <c r="AD31" s="106">
        <f t="shared" si="4"/>
        <v>7.473819262093942E-2</v>
      </c>
    </row>
    <row r="32" spans="1:32" s="33" customFormat="1" x14ac:dyDescent="0.2">
      <c r="A32" s="5" t="s">
        <v>417</v>
      </c>
      <c r="B32" s="52" t="s">
        <v>353</v>
      </c>
      <c r="C32" s="4"/>
      <c r="D32" s="33">
        <f>[13]Sorted_Checked!$K$430</f>
        <v>67.726538269234297</v>
      </c>
      <c r="E32" s="33">
        <f>[13]Sorted_Checked!$K$431</f>
        <v>68.577169887684093</v>
      </c>
      <c r="F32" s="33">
        <f>[13]Sorted_Checked!$K$432</f>
        <v>67.411734216202206</v>
      </c>
      <c r="G32" s="60">
        <f t="shared" si="5"/>
        <v>67.90514745770686</v>
      </c>
      <c r="I32" s="34">
        <f>[11]Extraction_filters!L31</f>
        <v>5.1539000000000001</v>
      </c>
      <c r="J32" s="33">
        <f>[11]Extraction_filters!O31</f>
        <v>9.9189761354888386</v>
      </c>
      <c r="K32" s="34">
        <f t="shared" si="10"/>
        <v>3.8425121651270207</v>
      </c>
      <c r="L32" s="53">
        <f>[11]MES_MO!P31</f>
        <v>1876.2500000000236</v>
      </c>
      <c r="R32" s="20">
        <f>[11]MES_MO!Q31</f>
        <v>139.65358928433173</v>
      </c>
      <c r="S32" s="106">
        <f>[11]MES_MO!R31</f>
        <v>6.3099999999998602E-2</v>
      </c>
      <c r="T32" s="126">
        <f t="shared" si="16"/>
        <v>6.3114538967115441E-2</v>
      </c>
      <c r="U32" s="106">
        <f t="shared" si="6"/>
        <v>6.2948530394749749E-2</v>
      </c>
      <c r="V32" s="106">
        <f t="shared" si="7"/>
        <v>6.3739151200966945E-2</v>
      </c>
      <c r="W32" s="106">
        <f t="shared" si="8"/>
        <v>6.265593530562967E-2</v>
      </c>
      <c r="X32" s="1">
        <f t="shared" si="9"/>
        <v>5.6036443815789066E-4</v>
      </c>
      <c r="AD32" s="126">
        <f t="shared" si="4"/>
        <v>0.11841865373705185</v>
      </c>
    </row>
    <row r="33" spans="1:31" x14ac:dyDescent="0.2">
      <c r="A33" s="5" t="s">
        <v>418</v>
      </c>
      <c r="B33" s="52" t="s">
        <v>354</v>
      </c>
      <c r="C33" s="4"/>
      <c r="D33" s="1">
        <f>[13]Sorted_Checked!$K$433</f>
        <v>45.978704121421401</v>
      </c>
      <c r="E33" s="1">
        <f>[13]Sorted_Checked!$K$434</f>
        <v>43.988917339270799</v>
      </c>
      <c r="F33" s="1">
        <f>[13]Sorted_Checked!$K$435</f>
        <v>45.312146146811699</v>
      </c>
      <c r="G33" s="60">
        <f t="shared" si="5"/>
        <v>45.093255869167969</v>
      </c>
      <c r="I33" s="15">
        <f>[11]Extraction_filters!L32</f>
        <v>3.3376999999999999</v>
      </c>
      <c r="J33" s="1">
        <f>[11]Extraction_filters!O32</f>
        <v>7</v>
      </c>
      <c r="K33" s="15">
        <f t="shared" si="10"/>
        <v>2.4122300000000001</v>
      </c>
      <c r="L33" s="51">
        <f>[11]MES_MO!P32</f>
        <v>570.62500000002456</v>
      </c>
      <c r="R33" s="20">
        <f>[11]MES_MO!Q32</f>
        <v>73.362328548153187</v>
      </c>
      <c r="S33" s="106">
        <f>[11]MES_MO!R32</f>
        <v>3.5699999999998511E-2</v>
      </c>
      <c r="T33" s="106">
        <f t="shared" si="16"/>
        <v>6.6762846988009272E-2</v>
      </c>
      <c r="U33" s="106">
        <f t="shared" si="6"/>
        <v>6.8073797928267607E-2</v>
      </c>
      <c r="V33" s="106">
        <f t="shared" si="7"/>
        <v>6.5127817916069947E-2</v>
      </c>
      <c r="W33" s="106">
        <f t="shared" si="8"/>
        <v>6.7086925119690222E-2</v>
      </c>
      <c r="X33" s="1">
        <f t="shared" si="9"/>
        <v>1.4994897580985339E-3</v>
      </c>
      <c r="AD33" s="106">
        <f t="shared" si="4"/>
        <v>3.8096549562534429E-2</v>
      </c>
    </row>
    <row r="34" spans="1:31" x14ac:dyDescent="0.2">
      <c r="A34" s="5" t="s">
        <v>419</v>
      </c>
      <c r="B34" s="52" t="s">
        <v>355</v>
      </c>
      <c r="C34" s="4"/>
      <c r="D34" s="1">
        <f>[13]Sorted_Checked!$K$436</f>
        <v>19.358803622144499</v>
      </c>
      <c r="E34" s="1">
        <f>[13]Sorted_Checked!$K$437</f>
        <v>19.9091150040726</v>
      </c>
      <c r="F34" s="1">
        <f>[13]Sorted_Checked!$K$438</f>
        <v>19.9313171398415</v>
      </c>
      <c r="G34" s="60">
        <f t="shared" si="5"/>
        <v>19.733078588686197</v>
      </c>
      <c r="I34" s="15">
        <f>[11]Extraction_filters!L33</f>
        <v>2.7833000000000001</v>
      </c>
      <c r="J34" s="1">
        <f>[11]Extraction_filters!O33</f>
        <v>5</v>
      </c>
      <c r="K34" s="15">
        <f t="shared" si="10"/>
        <v>2.1222500000000002</v>
      </c>
      <c r="L34" s="51">
        <f>[11]MES_MO!P33</f>
        <v>150.49999999998676</v>
      </c>
      <c r="R34" s="20">
        <f>[11]MES_MO!Q33</f>
        <v>30.405591591026091</v>
      </c>
      <c r="S34" s="106">
        <f>[11]MES_MO!R33</f>
        <v>2.0199999999995555E-2</v>
      </c>
      <c r="T34" s="106">
        <f t="shared" si="16"/>
        <v>3.3207812780718229E-2</v>
      </c>
      <c r="U34" s="106">
        <f t="shared" si="6"/>
        <v>3.2577964125245266E-2</v>
      </c>
      <c r="V34" s="106">
        <f t="shared" si="7"/>
        <v>3.350405567553405E-2</v>
      </c>
      <c r="W34" s="106">
        <f t="shared" si="8"/>
        <v>3.3541418541375392E-2</v>
      </c>
      <c r="X34" s="1">
        <f t="shared" si="9"/>
        <v>5.457847492709928E-4</v>
      </c>
      <c r="AD34" s="106">
        <f t="shared" si="4"/>
        <v>4.9977758234976541E-3</v>
      </c>
    </row>
    <row r="35" spans="1:31" x14ac:dyDescent="0.2">
      <c r="A35" s="5" t="s">
        <v>420</v>
      </c>
      <c r="B35" s="52" t="s">
        <v>356</v>
      </c>
      <c r="C35" s="4"/>
      <c r="D35" s="1">
        <f>[13]Sorted_Checked!$K$439</f>
        <v>83.247991778113303</v>
      </c>
      <c r="E35" s="1">
        <f>[13]Sorted_Checked!$K$440</f>
        <v>82.159040025056001</v>
      </c>
      <c r="F35" s="1">
        <f>[13]Sorted_Checked!$K$441</f>
        <v>83.613676434636304</v>
      </c>
      <c r="G35" s="60">
        <f t="shared" si="5"/>
        <v>83.006902745935193</v>
      </c>
      <c r="I35" s="15">
        <f>[11]Extraction_filters!L34</f>
        <v>7.4455</v>
      </c>
      <c r="J35" s="1">
        <f>[11]Extraction_filters!O34</f>
        <v>10</v>
      </c>
      <c r="K35" s="15">
        <f t="shared" si="10"/>
        <v>6.1234000000000002</v>
      </c>
      <c r="L35" s="51">
        <f>[11]MES_MO!P34</f>
        <v>1377.0000000000236</v>
      </c>
      <c r="R35" s="20">
        <f>[11]MES_MO!Q34</f>
        <v>49.497474683093699</v>
      </c>
      <c r="S35" s="106">
        <f>[11]MES_MO!R34</f>
        <v>0.12359999999999616</v>
      </c>
      <c r="T35" s="106">
        <f t="shared" si="16"/>
        <v>4.8413173088909051E-2</v>
      </c>
      <c r="U35" s="106">
        <f t="shared" si="6"/>
        <v>4.8553786515727317E-2</v>
      </c>
      <c r="V35" s="106">
        <f t="shared" si="7"/>
        <v>4.7918663315580978E-2</v>
      </c>
      <c r="W35" s="106">
        <f t="shared" si="8"/>
        <v>4.8767069435418871E-2</v>
      </c>
      <c r="X35" s="1">
        <f t="shared" si="9"/>
        <v>4.4133585611841921E-4</v>
      </c>
      <c r="AD35" s="106">
        <f t="shared" si="4"/>
        <v>6.6664939343428917E-2</v>
      </c>
    </row>
    <row r="36" spans="1:31" x14ac:dyDescent="0.2">
      <c r="A36" s="5" t="s">
        <v>421</v>
      </c>
      <c r="B36" s="52" t="s">
        <v>357</v>
      </c>
      <c r="C36" s="4"/>
      <c r="D36" s="1">
        <f>[13]Sorted_Checked!$K$442</f>
        <v>87.400975192528094</v>
      </c>
      <c r="E36" s="1">
        <f>[13]Sorted_Checked!$K$443</f>
        <v>84.9755868938785</v>
      </c>
      <c r="F36" s="1">
        <f>[13]Sorted_Checked!$K$444</f>
        <v>86.030034534806603</v>
      </c>
      <c r="G36" s="60">
        <f t="shared" si="5"/>
        <v>86.135532207071051</v>
      </c>
      <c r="I36" s="15">
        <f>[11]Extraction_filters!L35</f>
        <v>5.5124000000000004</v>
      </c>
      <c r="J36" s="1">
        <f>[11]Extraction_filters!O35</f>
        <v>4</v>
      </c>
      <c r="K36" s="15">
        <f t="shared" si="10"/>
        <v>4.9835600000000007</v>
      </c>
      <c r="L36" s="51">
        <f>[11]MES_MO!P35</f>
        <v>14572.000000000073</v>
      </c>
      <c r="R36" s="20">
        <f>[11]MES_MO!Q35</f>
        <v>113.1370849898849</v>
      </c>
      <c r="S36" s="106">
        <f>[11]MES_MO!R35</f>
        <v>0.6916000000000011</v>
      </c>
      <c r="T36" s="106">
        <f t="shared" si="16"/>
        <v>6.172834293949294E-2</v>
      </c>
      <c r="U36" s="106">
        <f t="shared" si="6"/>
        <v>6.2635212573604923E-2</v>
      </c>
      <c r="V36" s="106">
        <f t="shared" si="7"/>
        <v>6.0897077371740063E-2</v>
      </c>
      <c r="W36" s="106">
        <f t="shared" si="8"/>
        <v>6.1652738873133862E-2</v>
      </c>
      <c r="X36" s="1">
        <f t="shared" si="9"/>
        <v>8.7153053654359766E-4</v>
      </c>
      <c r="AD36" s="106">
        <f t="shared" si="4"/>
        <v>0.89950541331429568</v>
      </c>
    </row>
    <row r="37" spans="1:31" x14ac:dyDescent="0.2">
      <c r="A37" s="5" t="s">
        <v>422</v>
      </c>
      <c r="B37" s="52" t="s">
        <v>358</v>
      </c>
      <c r="C37" s="4"/>
      <c r="D37" s="1">
        <f>[13]Sorted_Checked!$K$445</f>
        <v>303.315941980888</v>
      </c>
      <c r="E37" s="1">
        <f>[13]Sorted_Checked!$K$446</f>
        <v>301.93626682225499</v>
      </c>
      <c r="F37" s="1">
        <f>[13]Sorted_Checked!$K$447</f>
        <v>309.76636865626102</v>
      </c>
      <c r="G37" s="60">
        <f t="shared" si="5"/>
        <v>305.00619248646802</v>
      </c>
      <c r="I37" s="15">
        <f>[11]Extraction_filters!L36</f>
        <v>6.8446999999999996</v>
      </c>
      <c r="J37" s="1">
        <f>[11]Extraction_filters!O36</f>
        <v>11</v>
      </c>
      <c r="K37" s="15">
        <f t="shared" si="10"/>
        <v>5.39039</v>
      </c>
      <c r="L37" s="51">
        <f>[11]MES_MO!P36</f>
        <v>1644.9999999999677</v>
      </c>
      <c r="R37" s="20">
        <f>[11]MES_MO!Q36</f>
        <v>32.526911934555621</v>
      </c>
      <c r="S37" s="106">
        <f>[11]MES_MO!R36</f>
        <v>7.4200000000004707E-2</v>
      </c>
      <c r="T37" s="106">
        <f t="shared" si="16"/>
        <v>0.20208330571791919</v>
      </c>
      <c r="U37" s="106">
        <f t="shared" si="6"/>
        <v>0.20096342219399974</v>
      </c>
      <c r="V37" s="106">
        <f t="shared" si="7"/>
        <v>0.2000493118456145</v>
      </c>
      <c r="W37" s="106">
        <f t="shared" si="8"/>
        <v>0.20523718311414318</v>
      </c>
      <c r="X37" s="1">
        <f t="shared" si="9"/>
        <v>2.7693151509111343E-3</v>
      </c>
      <c r="AD37" s="106">
        <f t="shared" si="4"/>
        <v>0.33242703790597056</v>
      </c>
    </row>
    <row r="38" spans="1:31" x14ac:dyDescent="0.2">
      <c r="A38" s="5" t="s">
        <v>423</v>
      </c>
      <c r="B38" s="52" t="s">
        <v>359</v>
      </c>
      <c r="C38" s="4"/>
      <c r="E38" s="1">
        <f>[13]Sorted_Checked!$K$449</f>
        <v>7.04815959684161</v>
      </c>
      <c r="F38" s="1">
        <f>[13]Sorted_Checked!$K$450</f>
        <v>7.1343625646594102</v>
      </c>
      <c r="G38" s="60">
        <f t="shared" si="5"/>
        <v>7.0912610807505096</v>
      </c>
      <c r="I38" s="15">
        <f>[11]Extraction_filters!L37</f>
        <v>1.2369000000000001</v>
      </c>
      <c r="J38" s="1">
        <f>[11]Extraction_filters!O37</f>
        <v>3</v>
      </c>
      <c r="K38" s="15">
        <f t="shared" si="10"/>
        <v>0.84027000000000007</v>
      </c>
      <c r="L38" s="51">
        <f>[11]MES_MO!P37</f>
        <v>33.749999999992397</v>
      </c>
      <c r="R38" s="20">
        <f>[11]MES_MO!Q37</f>
        <v>10.253048327206159</v>
      </c>
      <c r="S38" s="106">
        <f>[11]MES_MO!R37</f>
        <v>2.2999999999981924E-3</v>
      </c>
      <c r="T38" s="106">
        <f t="shared" si="16"/>
        <v>3.0140231629418899E-2</v>
      </c>
      <c r="U38" s="106">
        <f t="shared" si="6"/>
        <v>0</v>
      </c>
      <c r="V38" s="106">
        <f t="shared" si="7"/>
        <v>2.9957035905302586E-2</v>
      </c>
      <c r="W38" s="106">
        <f t="shared" si="8"/>
        <v>3.0323427353535212E-2</v>
      </c>
      <c r="X38" s="1">
        <f t="shared" si="9"/>
        <v>1.740243512361634E-2</v>
      </c>
      <c r="AD38" s="106">
        <f t="shared" si="4"/>
        <v>1.0172328174926587E-3</v>
      </c>
    </row>
    <row r="39" spans="1:31" x14ac:dyDescent="0.2">
      <c r="A39" s="5" t="s">
        <v>424</v>
      </c>
      <c r="B39" s="51" t="s">
        <v>360</v>
      </c>
      <c r="D39" s="1">
        <f>[13]Sorted_Checked!$K$451</f>
        <v>127.715219158214</v>
      </c>
      <c r="E39" s="1">
        <f>[13]Sorted_Checked!$K$452</f>
        <v>126.205880309546</v>
      </c>
      <c r="F39" s="1">
        <f>[13]Sorted_Checked!$K$453</f>
        <v>129.954199853429</v>
      </c>
      <c r="G39" s="60">
        <f t="shared" si="5"/>
        <v>127.958433107063</v>
      </c>
      <c r="I39" s="15">
        <f>[11]Extraction_filters!L38</f>
        <v>6.7344999999999997</v>
      </c>
      <c r="J39" s="1">
        <f>[11]Extraction_filters!O38</f>
        <v>10.866478418717225</v>
      </c>
      <c r="K39" s="15">
        <f t="shared" si="10"/>
        <v>5.2978428882613953</v>
      </c>
      <c r="L39" s="51">
        <f>[11]MES_MO!P38</f>
        <v>2382.0000000001328</v>
      </c>
      <c r="R39" s="20">
        <f>[11]MES_MO!Q38</f>
        <v>45.254833995933893</v>
      </c>
      <c r="S39" s="106">
        <f>[11]MES_MO!R38</f>
        <v>0.1104000000000056</v>
      </c>
      <c r="T39" s="106">
        <f t="shared" si="16"/>
        <v>8.6260467437864932E-2</v>
      </c>
      <c r="U39" s="106">
        <f t="shared" si="6"/>
        <v>8.6096509905674995E-2</v>
      </c>
      <c r="V39" s="106">
        <f t="shared" si="7"/>
        <v>8.5079021089605369E-2</v>
      </c>
      <c r="W39" s="106">
        <f t="shared" si="8"/>
        <v>8.7605871318314418E-2</v>
      </c>
      <c r="X39" s="1">
        <f t="shared" si="9"/>
        <v>1.2713790048026995E-3</v>
      </c>
      <c r="AD39" s="106">
        <f t="shared" si="4"/>
        <v>0.20547243343700572</v>
      </c>
    </row>
    <row r="40" spans="1:31" x14ac:dyDescent="0.2">
      <c r="A40" s="5" t="s">
        <v>425</v>
      </c>
      <c r="B40" s="51" t="s">
        <v>361</v>
      </c>
      <c r="D40" s="1">
        <f>[13]Sorted_Checked!$K$454</f>
        <v>5.4298653165552899</v>
      </c>
      <c r="E40" s="1">
        <f>[13]Sorted_Checked!$K$455</f>
        <v>5.2367592283001398</v>
      </c>
      <c r="G40" s="60">
        <f t="shared" si="5"/>
        <v>5.3333122724277153</v>
      </c>
      <c r="I40" s="15">
        <f>[11]Extraction_filters!L39</f>
        <v>0.67710000000000004</v>
      </c>
      <c r="J40" s="1">
        <f>[11]Extraction_filters!O39</f>
        <v>2</v>
      </c>
      <c r="K40" s="15">
        <f t="shared" si="10"/>
        <v>0.41268000000000005</v>
      </c>
      <c r="L40" s="51">
        <f>[11]MES_MO!P39</f>
        <v>71.000000000047692</v>
      </c>
      <c r="R40" s="20">
        <f>[11]MES_MO!Q39</f>
        <v>22.627416997967028</v>
      </c>
      <c r="S40" s="106">
        <f>[11]MES_MO!R39</f>
        <v>3.700000000002035E-3</v>
      </c>
      <c r="T40" s="106">
        <f t="shared" si="16"/>
        <v>4.6155723151349665E-2</v>
      </c>
      <c r="U40" s="106">
        <f t="shared" si="6"/>
        <v>4.6991315621194636E-2</v>
      </c>
      <c r="V40" s="106">
        <f t="shared" si="7"/>
        <v>4.5320130681504679E-2</v>
      </c>
      <c r="W40" s="106">
        <f t="shared" si="8"/>
        <v>0</v>
      </c>
      <c r="X40" s="1">
        <f t="shared" si="9"/>
        <v>2.6661116655478004E-2</v>
      </c>
      <c r="AD40" s="106">
        <f t="shared" si="4"/>
        <v>3.2770563437480274E-3</v>
      </c>
    </row>
    <row r="41" spans="1:31" x14ac:dyDescent="0.2">
      <c r="A41" s="5" t="s">
        <v>426</v>
      </c>
      <c r="B41" s="51" t="s">
        <v>362</v>
      </c>
      <c r="D41" s="1">
        <f>[13]Sorted_Checked!$K$457</f>
        <v>11.7209915303589</v>
      </c>
      <c r="F41" s="1">
        <f>[13]Sorted_Checked!$K$459</f>
        <v>10.5090842514917</v>
      </c>
      <c r="G41" s="60">
        <f t="shared" si="5"/>
        <v>11.115037890925301</v>
      </c>
      <c r="I41" s="15">
        <f>[11]Extraction_filters!L40</f>
        <v>0.75749999999999995</v>
      </c>
      <c r="J41" s="1">
        <f>[11]Extraction_filters!O40</f>
        <v>2</v>
      </c>
      <c r="K41" s="15">
        <f t="shared" si="10"/>
        <v>0.49307999999999996</v>
      </c>
      <c r="L41" s="51">
        <f>[11]MES_MO!P40</f>
        <v>384.99999999999091</v>
      </c>
      <c r="R41" s="20"/>
      <c r="S41" s="106">
        <f>[11]MES_MO!R40</f>
        <v>3.7999999999982492E-3</v>
      </c>
      <c r="T41" s="106">
        <f t="shared" si="16"/>
        <v>8.0507349509535558E-2</v>
      </c>
      <c r="U41" s="106">
        <f t="shared" si="6"/>
        <v>8.4896333327241155E-2</v>
      </c>
      <c r="V41" s="106">
        <f t="shared" si="7"/>
        <v>0</v>
      </c>
      <c r="W41" s="106">
        <f t="shared" si="8"/>
        <v>7.6118365691829934E-2</v>
      </c>
      <c r="X41" s="1">
        <f t="shared" si="9"/>
        <v>4.6687695959095256E-2</v>
      </c>
      <c r="AD41" s="106">
        <f t="shared" si="4"/>
        <v>3.0995329561170459E-2</v>
      </c>
    </row>
    <row r="42" spans="1:31" x14ac:dyDescent="0.2">
      <c r="A42" s="5" t="s">
        <v>427</v>
      </c>
      <c r="B42" s="51" t="s">
        <v>363</v>
      </c>
      <c r="D42" s="1">
        <f>[13]Sorted_Checked!$K$460</f>
        <v>64.399951988046894</v>
      </c>
      <c r="E42" s="1">
        <f>[13]Sorted_Checked!$K$461</f>
        <v>64.275884025116795</v>
      </c>
      <c r="F42" s="1">
        <f>[13]Sorted_Checked!$K$462</f>
        <v>66.493949172942294</v>
      </c>
      <c r="G42" s="60">
        <f t="shared" si="5"/>
        <v>65.056595062035328</v>
      </c>
      <c r="I42" s="15">
        <f>[11]Extraction_filters!L41</f>
        <v>6.4425999999999997</v>
      </c>
      <c r="J42" s="1">
        <f>[11]Extraction_filters!O41</f>
        <v>9.734619144964892</v>
      </c>
      <c r="K42" s="15">
        <f t="shared" si="10"/>
        <v>5.1555860028441911</v>
      </c>
      <c r="L42" s="51">
        <f>[11]MES_MO!P41</f>
        <v>796.56250000001978</v>
      </c>
      <c r="R42" s="20">
        <f>[11]MES_MO!Q41</f>
        <v>794.16930362012738</v>
      </c>
      <c r="S42" s="106">
        <f>[11]MES_MO!R41</f>
        <v>2.4799999999999045E-2</v>
      </c>
      <c r="T42" s="106">
        <f t="shared" si="16"/>
        <v>4.506664853156047E-2</v>
      </c>
      <c r="U42" s="106">
        <f t="shared" si="6"/>
        <v>4.4611772241187418E-2</v>
      </c>
      <c r="V42" s="106">
        <f t="shared" si="7"/>
        <v>4.4525826653748275E-2</v>
      </c>
      <c r="W42" s="106">
        <f t="shared" si="8"/>
        <v>4.6062346699745717E-2</v>
      </c>
      <c r="X42" s="1">
        <f t="shared" si="9"/>
        <v>8.6337002067228194E-4</v>
      </c>
      <c r="AD42" s="106">
        <f t="shared" si="4"/>
        <v>3.5898402220922034E-2</v>
      </c>
    </row>
    <row r="43" spans="1:31" x14ac:dyDescent="0.2">
      <c r="A43" s="5" t="s">
        <v>428</v>
      </c>
      <c r="B43" s="51" t="s">
        <v>364</v>
      </c>
      <c r="D43" s="1">
        <f>[13]Sorted_Checked!$K$463</f>
        <v>11.596027509077601</v>
      </c>
      <c r="E43" s="1">
        <f>[13]Sorted_Checked!$K$464</f>
        <v>11.2070705271574</v>
      </c>
      <c r="F43" s="1">
        <f>[13]Sorted_Checked!$K$465</f>
        <v>11.2341172748269</v>
      </c>
      <c r="G43" s="60">
        <f t="shared" si="5"/>
        <v>11.345738437020634</v>
      </c>
      <c r="I43" s="15">
        <f>[11]Extraction_filters!L42</f>
        <v>0.90459999999999996</v>
      </c>
      <c r="J43" s="1">
        <f>[11]Extraction_filters!O42</f>
        <v>2</v>
      </c>
      <c r="K43" s="15">
        <f t="shared" si="10"/>
        <v>0.64017999999999997</v>
      </c>
      <c r="L43" s="51">
        <f>[11]MES_MO!P42</f>
        <v>66.249999999996589</v>
      </c>
      <c r="R43" s="20"/>
      <c r="S43" s="106">
        <f>[11]MES_MO!R42</f>
        <v>2.3200000000002774E-2</v>
      </c>
      <c r="T43" s="106">
        <f t="shared" si="16"/>
        <v>6.3295470676889051E-2</v>
      </c>
      <c r="U43" s="106">
        <f t="shared" si="6"/>
        <v>6.4691780375818422E-2</v>
      </c>
      <c r="V43" s="106">
        <f t="shared" si="7"/>
        <v>6.2521871790285538E-2</v>
      </c>
      <c r="W43" s="106">
        <f t="shared" si="8"/>
        <v>6.2672759864563207E-2</v>
      </c>
      <c r="X43" s="1">
        <f t="shared" si="9"/>
        <v>1.2115908485264195E-3</v>
      </c>
      <c r="AD43" s="106">
        <f t="shared" si="4"/>
        <v>4.193324932343684E-3</v>
      </c>
    </row>
    <row r="44" spans="1:31" x14ac:dyDescent="0.2">
      <c r="A44" s="5" t="s">
        <v>429</v>
      </c>
      <c r="B44" s="51" t="s">
        <v>365</v>
      </c>
      <c r="D44" s="1">
        <f>[13]Sorted_Checked!$K$466</f>
        <v>13.4306402834791</v>
      </c>
      <c r="E44" s="1">
        <f>[13]Sorted_Checked!$K$467</f>
        <v>13.2386851938461</v>
      </c>
      <c r="F44" s="1">
        <f>[13]Sorted_Checked!$K$468</f>
        <v>12.7993280602543</v>
      </c>
      <c r="G44" s="60">
        <f t="shared" si="5"/>
        <v>13.156217845859834</v>
      </c>
      <c r="I44" s="15">
        <f>[11]Extraction_filters!L43</f>
        <v>0.7802</v>
      </c>
      <c r="J44" s="1">
        <f>[11]Extraction_filters!O43</f>
        <v>2</v>
      </c>
      <c r="K44" s="15">
        <f t="shared" si="10"/>
        <v>0.51578000000000002</v>
      </c>
      <c r="L44" s="51">
        <f>[11]MES_MO!P43</f>
        <v>54.038461538465405</v>
      </c>
      <c r="R44" s="20">
        <f>[11]MES_MO!Q43</f>
        <v>12.23838659745992</v>
      </c>
      <c r="S44" s="106">
        <f>[11]MES_MO!R43</f>
        <v>4.1000000000011028E-3</v>
      </c>
      <c r="T44" s="106">
        <f t="shared" si="16"/>
        <v>9.1097933821866414E-2</v>
      </c>
      <c r="U44" s="106">
        <f t="shared" si="6"/>
        <v>9.2998124085844305E-2</v>
      </c>
      <c r="V44" s="106">
        <f t="shared" si="7"/>
        <v>9.1668964576855153E-2</v>
      </c>
      <c r="W44" s="106">
        <f t="shared" si="8"/>
        <v>8.8626712802899757E-2</v>
      </c>
      <c r="X44" s="1">
        <f t="shared" si="9"/>
        <v>2.2409520841644498E-3</v>
      </c>
      <c r="AD44" s="106">
        <f t="shared" si="4"/>
        <v>4.9227921930665953E-3</v>
      </c>
    </row>
    <row r="45" spans="1:31" s="29" customFormat="1" x14ac:dyDescent="0.2">
      <c r="A45" s="5" t="s">
        <v>430</v>
      </c>
      <c r="B45" s="58" t="s">
        <v>366</v>
      </c>
      <c r="F45" s="29">
        <f t="shared" ref="F45" si="17">F44</f>
        <v>12.7993280602543</v>
      </c>
      <c r="G45" s="124">
        <f t="shared" si="5"/>
        <v>12.7993280602543</v>
      </c>
      <c r="I45" s="15">
        <f>[11]Extraction_filters!L44</f>
        <v>0.7802</v>
      </c>
      <c r="J45" s="29">
        <f>[11]Extraction_filters!O44</f>
        <v>2</v>
      </c>
      <c r="K45" s="30">
        <f t="shared" si="10"/>
        <v>0.51578000000000002</v>
      </c>
      <c r="L45" s="58">
        <f>[11]MES_MO!P44</f>
        <v>50.00000000002558</v>
      </c>
      <c r="R45" s="20"/>
      <c r="S45" s="106">
        <f>[11]MES_MO!R44</f>
        <v>7.9999999999813554E-4</v>
      </c>
      <c r="T45" s="125">
        <f t="shared" si="16"/>
        <v>8.8626712802899757E-2</v>
      </c>
      <c r="U45" s="106">
        <f t="shared" si="6"/>
        <v>0</v>
      </c>
      <c r="V45" s="106">
        <f t="shared" si="7"/>
        <v>0</v>
      </c>
      <c r="W45" s="106">
        <f t="shared" si="8"/>
        <v>8.8626712802899757E-2</v>
      </c>
      <c r="X45" s="1">
        <f t="shared" si="9"/>
        <v>5.1168656494145828E-2</v>
      </c>
      <c r="AD45" s="125">
        <f t="shared" si="4"/>
        <v>4.4313356401472553E-3</v>
      </c>
      <c r="AE45" s="29" t="s">
        <v>389</v>
      </c>
    </row>
    <row r="46" spans="1:31" x14ac:dyDescent="0.2">
      <c r="B46" s="51" t="s">
        <v>367</v>
      </c>
      <c r="G46" s="60" t="e">
        <f t="shared" si="5"/>
        <v>#DIV/0!</v>
      </c>
      <c r="I46" s="15">
        <f>[11]Extraction_filters!L45</f>
        <v>0</v>
      </c>
      <c r="J46" s="1" t="e">
        <f>[11]Extraction_filters!O45</f>
        <v>#DIV/0!</v>
      </c>
      <c r="K46" s="15" t="e">
        <f t="shared" si="10"/>
        <v>#DIV/0!</v>
      </c>
      <c r="L46" s="51">
        <f>[11]MES_MO!P45</f>
        <v>55.499999999994998</v>
      </c>
      <c r="R46" s="20">
        <f>[11]MES_MO!Q45</f>
        <v>0</v>
      </c>
      <c r="S46" s="106">
        <f>[11]MES_MO!R45</f>
        <v>5.6000000000011596E-3</v>
      </c>
      <c r="T46" s="20" t="e">
        <f t="shared" si="16"/>
        <v>#DIV/0!</v>
      </c>
      <c r="U46" s="106" t="e">
        <f t="shared" si="6"/>
        <v>#DIV/0!</v>
      </c>
      <c r="V46" s="106" t="e">
        <f t="shared" si="7"/>
        <v>#DIV/0!</v>
      </c>
      <c r="W46" s="106" t="e">
        <f t="shared" si="8"/>
        <v>#DIV/0!</v>
      </c>
      <c r="X46" s="1" t="e">
        <f t="shared" si="9"/>
        <v>#DIV/0!</v>
      </c>
      <c r="AD46" s="20" t="e">
        <f t="shared" si="4"/>
        <v>#DIV/0!</v>
      </c>
    </row>
    <row r="47" spans="1:31" x14ac:dyDescent="0.2">
      <c r="B47" s="51" t="s">
        <v>368</v>
      </c>
      <c r="G47" s="60" t="e">
        <f t="shared" si="5"/>
        <v>#DIV/0!</v>
      </c>
      <c r="I47" s="15">
        <f>[11]Extraction_filters!L46</f>
        <v>0</v>
      </c>
      <c r="J47" s="1" t="e">
        <f>[11]Extraction_filters!O46</f>
        <v>#DIV/0!</v>
      </c>
      <c r="K47" s="15" t="e">
        <f t="shared" si="10"/>
        <v>#DIV/0!</v>
      </c>
      <c r="L47" s="51">
        <f>[11]MES_MO!P46</f>
        <v>55.499999999994998</v>
      </c>
      <c r="R47" s="20">
        <f>[11]MES_MO!Q46</f>
        <v>0</v>
      </c>
      <c r="S47" s="106">
        <f>[11]MES_MO!R46</f>
        <v>5.6000000000011596E-3</v>
      </c>
      <c r="T47" s="20" t="e">
        <f t="shared" si="16"/>
        <v>#DIV/0!</v>
      </c>
      <c r="U47" s="106" t="e">
        <f t="shared" si="6"/>
        <v>#DIV/0!</v>
      </c>
      <c r="V47" s="106" t="e">
        <f t="shared" si="7"/>
        <v>#DIV/0!</v>
      </c>
      <c r="W47" s="106" t="e">
        <f t="shared" si="8"/>
        <v>#DIV/0!</v>
      </c>
      <c r="X47" s="1" t="e">
        <f t="shared" si="9"/>
        <v>#DIV/0!</v>
      </c>
      <c r="AD47" s="20" t="e">
        <f t="shared" si="4"/>
        <v>#DIV/0!</v>
      </c>
    </row>
    <row r="48" spans="1:31" x14ac:dyDescent="0.2">
      <c r="B48" s="51" t="s">
        <v>369</v>
      </c>
      <c r="G48" s="60" t="e">
        <f t="shared" si="5"/>
        <v>#DIV/0!</v>
      </c>
      <c r="I48" s="15">
        <f>[11]Extraction_filters!L47</f>
        <v>0</v>
      </c>
      <c r="J48" s="1" t="e">
        <f>[11]Extraction_filters!O47</f>
        <v>#DIV/0!</v>
      </c>
      <c r="K48" s="15" t="e">
        <f t="shared" si="10"/>
        <v>#DIV/0!</v>
      </c>
      <c r="L48" s="51">
        <f>[11]MES_MO!P47</f>
        <v>55.499999999994998</v>
      </c>
      <c r="R48" s="20">
        <f>[11]MES_MO!Q47</f>
        <v>0</v>
      </c>
      <c r="S48" s="106">
        <f>[11]MES_MO!R47</f>
        <v>5.6000000000011596E-3</v>
      </c>
      <c r="T48" s="20" t="e">
        <f t="shared" si="16"/>
        <v>#DIV/0!</v>
      </c>
      <c r="U48" s="106" t="e">
        <f t="shared" si="6"/>
        <v>#DIV/0!</v>
      </c>
      <c r="V48" s="106" t="e">
        <f t="shared" si="7"/>
        <v>#DIV/0!</v>
      </c>
      <c r="W48" s="106" t="e">
        <f t="shared" si="8"/>
        <v>#DIV/0!</v>
      </c>
      <c r="X48" s="1" t="e">
        <f t="shared" si="9"/>
        <v>#DIV/0!</v>
      </c>
      <c r="AD48" s="20" t="e">
        <f t="shared" si="4"/>
        <v>#DIV/0!</v>
      </c>
    </row>
    <row r="51" spans="1:30" x14ac:dyDescent="0.2">
      <c r="A51" s="52" t="s">
        <v>431</v>
      </c>
      <c r="B51" s="52" t="s">
        <v>344</v>
      </c>
      <c r="C51" s="4">
        <v>331.03127316628797</v>
      </c>
      <c r="D51" s="1">
        <f>[13]Sorted_Checked!$K$41</f>
        <v>185.872949718402</v>
      </c>
      <c r="E51" s="1">
        <f>[13]Sorted_Checked!$K$42</f>
        <v>204.43694036447499</v>
      </c>
      <c r="F51" s="1">
        <f>[13]Sorted_Checked!$K$43</f>
        <v>205.21164793960699</v>
      </c>
      <c r="G51" s="60">
        <f>AVERAGE(D51:F51)</f>
        <v>198.507179340828</v>
      </c>
      <c r="H51" s="15" t="s">
        <v>104</v>
      </c>
      <c r="I51" s="15">
        <v>6.1337000000000002</v>
      </c>
      <c r="J51" s="15">
        <v>5</v>
      </c>
      <c r="K51" s="15">
        <f>I51-J51*$K$1</f>
        <v>5.4726499999999998</v>
      </c>
      <c r="L51" s="51" t="e">
        <f>[11]MES_MO!P20</f>
        <v>#DIV/0!</v>
      </c>
      <c r="M51" s="20">
        <f>C23*$D$3*$D$1/$K51</f>
        <v>0.56295535048889012</v>
      </c>
      <c r="N51" s="2" t="e">
        <f>M51*$L51*10^(-3)</f>
        <v>#DIV/0!</v>
      </c>
      <c r="O51" s="20">
        <f>E19*$D$3*$D$1/$K51</f>
        <v>1.6353391086739905E-2</v>
      </c>
      <c r="P51" s="20" t="e">
        <f>#REF!*$D$3*$D$1/$K51</f>
        <v>#REF!</v>
      </c>
      <c r="Q51" s="20" t="e">
        <f>#REF!*$D$3*$D$1/$K51</f>
        <v>#REF!</v>
      </c>
      <c r="R51" s="20">
        <f>[11]MES_MO!Q20</f>
        <v>0</v>
      </c>
      <c r="S51" s="106">
        <f>[11]MES_MO!R20</f>
        <v>0</v>
      </c>
      <c r="T51" s="106">
        <f>G51*$D$3*$D$1/$K51</f>
        <v>0.12954495754918158</v>
      </c>
      <c r="Z51" s="106" t="e">
        <f>O51*$L51*10^(-3)</f>
        <v>#DIV/0!</v>
      </c>
      <c r="AA51" s="106" t="e">
        <f>P51*$L51*10^(-3)</f>
        <v>#REF!</v>
      </c>
      <c r="AB51" s="106" t="e">
        <f>Q51*$L51*10^(-3)</f>
        <v>#REF!</v>
      </c>
      <c r="AC51" s="106"/>
      <c r="AD51" s="106" t="e">
        <f>T51*$L51*10^(-3)</f>
        <v>#DIV/0!</v>
      </c>
    </row>
  </sheetData>
  <autoFilter ref="B5:B38"/>
  <mergeCells count="1">
    <mergeCell ref="B5:B6"/>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6"/>
  <sheetViews>
    <sheetView topLeftCell="A157" workbookViewId="0">
      <selection activeCell="G174" sqref="G174"/>
    </sheetView>
  </sheetViews>
  <sheetFormatPr baseColWidth="10" defaultRowHeight="15" x14ac:dyDescent="0.25"/>
  <cols>
    <col min="2" max="2" width="13.140625" style="109" bestFit="1" customWidth="1"/>
    <col min="3" max="3" width="11.42578125" style="49" customWidth="1"/>
    <col min="4" max="6" width="5.42578125" style="49" customWidth="1"/>
    <col min="7" max="7" width="15.85546875" customWidth="1"/>
    <col min="8" max="8" width="17.85546875" customWidth="1"/>
    <col min="9" max="9" width="13" customWidth="1"/>
    <col min="10" max="10" width="14.140625" customWidth="1"/>
  </cols>
  <sheetData>
    <row r="1" spans="1:10" s="100" customFormat="1" ht="30" x14ac:dyDescent="0.2">
      <c r="A1" s="100" t="s">
        <v>301</v>
      </c>
      <c r="B1" s="107" t="s">
        <v>382</v>
      </c>
      <c r="C1" s="99" t="str">
        <f>Soil_Detailed!C7</f>
        <v>ID1</v>
      </c>
      <c r="D1" s="99" t="str">
        <f>Soil_Detailed!D7</f>
        <v>ID2</v>
      </c>
      <c r="E1" s="99" t="str">
        <f>Soil_Detailed!E7</f>
        <v>ID3</v>
      </c>
      <c r="F1" s="99" t="str">
        <f>Soil_Detailed!F7</f>
        <v>ID4</v>
      </c>
      <c r="G1" s="99" t="s">
        <v>381</v>
      </c>
      <c r="H1" s="99"/>
      <c r="I1" s="99"/>
      <c r="J1" s="99"/>
    </row>
    <row r="2" spans="1:10" s="100" customFormat="1" x14ac:dyDescent="0.2">
      <c r="A2" s="100" t="s">
        <v>377</v>
      </c>
      <c r="B2" s="107" t="str">
        <f>Water!A8</f>
        <v>AO_W0_1</v>
      </c>
      <c r="C2" s="99" t="s">
        <v>370</v>
      </c>
      <c r="D2" s="99" t="s">
        <v>300</v>
      </c>
      <c r="E2" s="99">
        <v>1</v>
      </c>
      <c r="F2" s="102"/>
      <c r="G2" s="110">
        <f>Water!Q8</f>
        <v>0.24565936483649065</v>
      </c>
      <c r="H2" s="102"/>
      <c r="I2" s="102"/>
      <c r="J2" s="102"/>
    </row>
    <row r="3" spans="1:10" s="100" customFormat="1" x14ac:dyDescent="0.2">
      <c r="A3" s="100" t="s">
        <v>377</v>
      </c>
      <c r="B3" s="107" t="str">
        <f>Water!A9</f>
        <v>AO_W1_1</v>
      </c>
      <c r="C3" s="99" t="s">
        <v>370</v>
      </c>
      <c r="D3" s="99" t="s">
        <v>302</v>
      </c>
      <c r="E3" s="99">
        <v>1</v>
      </c>
      <c r="F3" s="102"/>
      <c r="G3" s="110">
        <f>Water!Q9</f>
        <v>6.78824632218035</v>
      </c>
      <c r="H3" s="102"/>
      <c r="I3" s="102"/>
      <c r="J3" s="102"/>
    </row>
    <row r="4" spans="1:10" s="100" customFormat="1" x14ac:dyDescent="0.2">
      <c r="A4" s="100" t="s">
        <v>377</v>
      </c>
      <c r="B4" s="107" t="str">
        <f>Water!A10</f>
        <v>AO_W1_2</v>
      </c>
      <c r="C4" s="99" t="s">
        <v>370</v>
      </c>
      <c r="D4" s="99" t="s">
        <v>302</v>
      </c>
      <c r="E4" s="99">
        <v>2</v>
      </c>
      <c r="F4" s="102"/>
      <c r="G4" s="110">
        <f>Water!Q10</f>
        <v>6.5609981971828795</v>
      </c>
      <c r="H4" s="102"/>
      <c r="I4" s="102"/>
      <c r="J4" s="102"/>
    </row>
    <row r="5" spans="1:10" s="100" customFormat="1" x14ac:dyDescent="0.2">
      <c r="A5" s="100" t="s">
        <v>377</v>
      </c>
      <c r="B5" s="107" t="str">
        <f>Water!A11</f>
        <v>AO_W2_1</v>
      </c>
      <c r="C5" s="99" t="s">
        <v>370</v>
      </c>
      <c r="D5" s="99" t="s">
        <v>303</v>
      </c>
      <c r="E5" s="99">
        <v>1</v>
      </c>
      <c r="F5" s="102"/>
      <c r="G5" s="110">
        <f>Water!Q11</f>
        <v>9.4443018771349241</v>
      </c>
      <c r="H5" s="102"/>
      <c r="I5" s="102"/>
      <c r="J5" s="102"/>
    </row>
    <row r="6" spans="1:10" s="100" customFormat="1" x14ac:dyDescent="0.2">
      <c r="A6" s="100" t="s">
        <v>377</v>
      </c>
      <c r="B6" s="107" t="str">
        <f>Water!A12</f>
        <v>AO_W2_2</v>
      </c>
      <c r="C6" s="99" t="s">
        <v>370</v>
      </c>
      <c r="D6" s="99" t="s">
        <v>303</v>
      </c>
      <c r="E6" s="99">
        <v>2</v>
      </c>
      <c r="F6" s="102"/>
      <c r="G6" s="110">
        <f>Water!Q12</f>
        <v>1.0421882951622816</v>
      </c>
      <c r="H6" s="102"/>
      <c r="I6" s="102"/>
      <c r="J6" s="102"/>
    </row>
    <row r="7" spans="1:10" s="100" customFormat="1" x14ac:dyDescent="0.2">
      <c r="A7" s="100" t="s">
        <v>377</v>
      </c>
      <c r="B7" s="107" t="str">
        <f>Water!A13</f>
        <v>AO_W3_1</v>
      </c>
      <c r="C7" s="99" t="s">
        <v>370</v>
      </c>
      <c r="D7" s="99" t="s">
        <v>304</v>
      </c>
      <c r="E7" s="99">
        <v>1</v>
      </c>
      <c r="F7" s="102"/>
      <c r="G7" s="110">
        <f>Water!Q13</f>
        <v>8.8357358002013555</v>
      </c>
      <c r="H7" s="102"/>
      <c r="I7" s="102"/>
      <c r="J7" s="102"/>
    </row>
    <row r="8" spans="1:10" s="100" customFormat="1" x14ac:dyDescent="0.2">
      <c r="A8" s="100" t="s">
        <v>377</v>
      </c>
      <c r="B8" s="107" t="str">
        <f>Water!A14</f>
        <v>AO_W3_2</v>
      </c>
      <c r="C8" s="99" t="s">
        <v>370</v>
      </c>
      <c r="D8" s="99" t="s">
        <v>304</v>
      </c>
      <c r="E8" s="99">
        <v>2</v>
      </c>
      <c r="F8" s="102"/>
      <c r="G8" s="110">
        <f>Water!Q14</f>
        <v>10.735732413927535</v>
      </c>
      <c r="H8" s="102"/>
      <c r="I8" s="102"/>
      <c r="J8" s="102"/>
    </row>
    <row r="9" spans="1:10" s="100" customFormat="1" x14ac:dyDescent="0.2">
      <c r="A9" s="100" t="s">
        <v>377</v>
      </c>
      <c r="B9" s="107" t="str">
        <f>Water!A15</f>
        <v>AO_W3_3</v>
      </c>
      <c r="C9" s="99" t="s">
        <v>370</v>
      </c>
      <c r="D9" s="99" t="s">
        <v>304</v>
      </c>
      <c r="E9" s="99">
        <v>3</v>
      </c>
      <c r="F9" s="102"/>
      <c r="G9" s="110">
        <f>Water!Q15</f>
        <v>0.87183560799182735</v>
      </c>
      <c r="H9" s="102"/>
      <c r="I9" s="102"/>
      <c r="J9" s="102"/>
    </row>
    <row r="10" spans="1:10" s="100" customFormat="1" x14ac:dyDescent="0.2">
      <c r="A10" s="100" t="s">
        <v>377</v>
      </c>
      <c r="B10" s="107" t="str">
        <f>Water!A16</f>
        <v>AO_W4_1</v>
      </c>
      <c r="C10" s="99" t="s">
        <v>370</v>
      </c>
      <c r="D10" s="99" t="s">
        <v>305</v>
      </c>
      <c r="E10" s="99">
        <v>1</v>
      </c>
      <c r="F10" s="102"/>
      <c r="G10" s="110">
        <f>Water!Q16</f>
        <v>0.50121899568919159</v>
      </c>
      <c r="H10" s="102"/>
      <c r="I10" s="102"/>
      <c r="J10" s="102"/>
    </row>
    <row r="11" spans="1:10" s="100" customFormat="1" x14ac:dyDescent="0.2">
      <c r="A11" s="100" t="s">
        <v>377</v>
      </c>
      <c r="B11" s="107" t="str">
        <f>Water!A17</f>
        <v>AO_W5_1</v>
      </c>
      <c r="C11" s="99" t="s">
        <v>370</v>
      </c>
      <c r="D11" s="99" t="s">
        <v>306</v>
      </c>
      <c r="E11" s="99">
        <v>1</v>
      </c>
      <c r="F11" s="102"/>
      <c r="G11" s="110">
        <f>Water!Q17</f>
        <v>3.5869898391292669</v>
      </c>
      <c r="H11" s="102"/>
      <c r="I11" s="102"/>
      <c r="J11" s="102"/>
    </row>
    <row r="12" spans="1:10" s="100" customFormat="1" x14ac:dyDescent="0.2">
      <c r="A12" s="100" t="s">
        <v>377</v>
      </c>
      <c r="B12" s="107" t="str">
        <f>Water!A18</f>
        <v>AO_W5_2</v>
      </c>
      <c r="C12" s="99" t="s">
        <v>370</v>
      </c>
      <c r="D12" s="99" t="s">
        <v>306</v>
      </c>
      <c r="E12" s="99">
        <v>2</v>
      </c>
      <c r="F12" s="102"/>
      <c r="G12" s="110">
        <f>Water!Q18</f>
        <v>0.81303421437467072</v>
      </c>
      <c r="H12" s="102"/>
      <c r="I12" s="102"/>
      <c r="J12" s="102"/>
    </row>
    <row r="13" spans="1:10" s="100" customFormat="1" x14ac:dyDescent="0.2">
      <c r="A13" s="100" t="s">
        <v>377</v>
      </c>
      <c r="B13" s="107" t="str">
        <f>Water!A19</f>
        <v>AO_W6_1</v>
      </c>
      <c r="C13" s="99" t="s">
        <v>370</v>
      </c>
      <c r="D13" s="99" t="s">
        <v>307</v>
      </c>
      <c r="E13" s="99">
        <v>1</v>
      </c>
      <c r="F13" s="102"/>
      <c r="G13" s="110">
        <f>Water!Q19</f>
        <v>0.14349456785623207</v>
      </c>
      <c r="H13" s="102"/>
      <c r="I13" s="102"/>
      <c r="J13" s="102"/>
    </row>
    <row r="14" spans="1:10" s="100" customFormat="1" x14ac:dyDescent="0.2">
      <c r="A14" s="100" t="s">
        <v>377</v>
      </c>
      <c r="B14" s="107" t="str">
        <f>Water!A20</f>
        <v>AO_W6_2</v>
      </c>
      <c r="C14" s="99" t="s">
        <v>370</v>
      </c>
      <c r="D14" s="99" t="s">
        <v>307</v>
      </c>
      <c r="E14" s="99">
        <v>2</v>
      </c>
      <c r="F14" s="102"/>
      <c r="G14" s="110">
        <f>Water!Q20</f>
        <v>4.109085841272888E-2</v>
      </c>
      <c r="H14" s="102"/>
      <c r="I14" s="102"/>
      <c r="J14" s="102"/>
    </row>
    <row r="15" spans="1:10" s="100" customFormat="1" x14ac:dyDescent="0.2">
      <c r="A15" s="100" t="s">
        <v>377</v>
      </c>
      <c r="B15" s="107" t="str">
        <f>Water!A21</f>
        <v>AO_W6_3</v>
      </c>
      <c r="C15" s="99" t="s">
        <v>370</v>
      </c>
      <c r="D15" s="99" t="s">
        <v>307</v>
      </c>
      <c r="E15" s="99">
        <v>3</v>
      </c>
      <c r="F15" s="102"/>
      <c r="G15" s="110">
        <f>Water!Q21</f>
        <v>8.9226890845034355</v>
      </c>
      <c r="H15" s="102"/>
      <c r="I15" s="102"/>
      <c r="J15" s="102"/>
    </row>
    <row r="16" spans="1:10" s="100" customFormat="1" ht="17.25" customHeight="1" x14ac:dyDescent="0.2">
      <c r="A16" s="100" t="s">
        <v>377</v>
      </c>
      <c r="B16" s="107" t="str">
        <f>Water!A22</f>
        <v>AO_W6_3_J+7</v>
      </c>
      <c r="C16" s="99" t="s">
        <v>370</v>
      </c>
      <c r="D16" s="99" t="s">
        <v>307</v>
      </c>
      <c r="E16" s="99">
        <v>3</v>
      </c>
      <c r="F16" s="102" t="s">
        <v>371</v>
      </c>
      <c r="G16" s="110">
        <f>Water!Q22</f>
        <v>10.192275647943363</v>
      </c>
      <c r="H16" s="102"/>
      <c r="I16" s="102"/>
      <c r="J16" s="102"/>
    </row>
    <row r="17" spans="1:10" s="100" customFormat="1" x14ac:dyDescent="0.2">
      <c r="A17" s="100" t="s">
        <v>377</v>
      </c>
      <c r="B17" s="107" t="str">
        <f>Water!A23</f>
        <v>AO_W6_4</v>
      </c>
      <c r="C17" s="99" t="s">
        <v>370</v>
      </c>
      <c r="D17" s="99" t="s">
        <v>307</v>
      </c>
      <c r="E17" s="99">
        <v>4</v>
      </c>
      <c r="F17" s="102"/>
      <c r="G17" s="110">
        <f>Water!Q23</f>
        <v>2.1934116503931549E-2</v>
      </c>
      <c r="H17" s="102"/>
      <c r="I17" s="102"/>
      <c r="J17" s="102"/>
    </row>
    <row r="18" spans="1:10" s="100" customFormat="1" x14ac:dyDescent="0.2">
      <c r="A18" s="100" t="s">
        <v>377</v>
      </c>
      <c r="B18" s="107" t="str">
        <f>Water!A24</f>
        <v>AO_W7_1</v>
      </c>
      <c r="C18" s="99" t="s">
        <v>370</v>
      </c>
      <c r="D18" s="99" t="s">
        <v>308</v>
      </c>
      <c r="E18" s="99">
        <v>1</v>
      </c>
      <c r="F18" s="102"/>
      <c r="G18" s="110">
        <f>Water!Q24</f>
        <v>0.18881142573803206</v>
      </c>
      <c r="H18" s="102"/>
      <c r="I18" s="102"/>
      <c r="J18" s="102"/>
    </row>
    <row r="19" spans="1:10" s="100" customFormat="1" x14ac:dyDescent="0.2">
      <c r="A19" s="100" t="s">
        <v>377</v>
      </c>
      <c r="B19" s="107" t="str">
        <f>Water!A25</f>
        <v>AO_W8_1</v>
      </c>
      <c r="C19" s="99" t="s">
        <v>370</v>
      </c>
      <c r="D19" s="99" t="s">
        <v>309</v>
      </c>
      <c r="E19" s="99">
        <v>1</v>
      </c>
      <c r="F19" s="102"/>
      <c r="G19" s="110">
        <f>Water!Q25</f>
        <v>0.25050556009371294</v>
      </c>
      <c r="H19" s="102"/>
      <c r="I19" s="102"/>
      <c r="J19" s="102"/>
    </row>
    <row r="20" spans="1:10" s="100" customFormat="1" x14ac:dyDescent="0.2">
      <c r="A20" s="100" t="s">
        <v>377</v>
      </c>
      <c r="B20" s="107" t="str">
        <f>Water!A26</f>
        <v>AO_W9_1</v>
      </c>
      <c r="C20" s="99" t="s">
        <v>370</v>
      </c>
      <c r="D20" s="99" t="s">
        <v>310</v>
      </c>
      <c r="E20" s="99">
        <v>1</v>
      </c>
      <c r="F20" s="102"/>
      <c r="G20" s="110">
        <f>Water!Q26</f>
        <v>0.18378898025743526</v>
      </c>
      <c r="H20" s="102"/>
      <c r="I20" s="102"/>
      <c r="J20" s="102"/>
    </row>
    <row r="21" spans="1:10" s="100" customFormat="1" x14ac:dyDescent="0.2">
      <c r="A21" s="100" t="s">
        <v>377</v>
      </c>
      <c r="B21" s="107" t="str">
        <f>Water!A27</f>
        <v>AO_W9_2</v>
      </c>
      <c r="C21" s="99" t="s">
        <v>370</v>
      </c>
      <c r="D21" s="99" t="s">
        <v>310</v>
      </c>
      <c r="E21" s="99">
        <v>2</v>
      </c>
      <c r="F21" s="102"/>
      <c r="G21" s="110">
        <f>Water!Q27</f>
        <v>26.736702112544521</v>
      </c>
      <c r="H21" s="102"/>
      <c r="I21" s="102"/>
      <c r="J21" s="102"/>
    </row>
    <row r="22" spans="1:10" s="100" customFormat="1" x14ac:dyDescent="0.2">
      <c r="A22" s="100" t="s">
        <v>377</v>
      </c>
      <c r="B22" s="107" t="str">
        <f>Water!A28</f>
        <v>AO_W9_3</v>
      </c>
      <c r="C22" s="99" t="s">
        <v>370</v>
      </c>
      <c r="D22" s="99" t="s">
        <v>310</v>
      </c>
      <c r="E22" s="99">
        <v>3</v>
      </c>
      <c r="F22" s="102"/>
      <c r="G22" s="110">
        <f>Water!Q28</f>
        <v>12.186292643788645</v>
      </c>
      <c r="H22" s="102"/>
      <c r="I22" s="102"/>
      <c r="J22" s="102"/>
    </row>
    <row r="23" spans="1:10" s="100" customFormat="1" x14ac:dyDescent="0.2">
      <c r="A23" s="100" t="s">
        <v>377</v>
      </c>
      <c r="B23" s="107" t="str">
        <f>Water!A29</f>
        <v>AO_W9_4</v>
      </c>
      <c r="C23" s="99" t="s">
        <v>370</v>
      </c>
      <c r="D23" s="99" t="s">
        <v>310</v>
      </c>
      <c r="E23" s="99">
        <v>4</v>
      </c>
      <c r="F23" s="102"/>
      <c r="G23" s="110">
        <f>Water!Q29</f>
        <v>12.57657009727432</v>
      </c>
      <c r="H23" s="102"/>
      <c r="I23" s="102"/>
      <c r="J23" s="102"/>
    </row>
    <row r="24" spans="1:10" s="100" customFormat="1" x14ac:dyDescent="0.2">
      <c r="A24" s="100" t="s">
        <v>377</v>
      </c>
      <c r="B24" s="107" t="str">
        <f>Water!A30</f>
        <v>AO_W10_1</v>
      </c>
      <c r="C24" s="99" t="s">
        <v>370</v>
      </c>
      <c r="D24" s="99" t="s">
        <v>311</v>
      </c>
      <c r="E24" s="99">
        <v>1</v>
      </c>
      <c r="F24" s="102"/>
      <c r="G24" s="110">
        <f>Water!Q30</f>
        <v>0.51399388221453002</v>
      </c>
      <c r="H24" s="102"/>
      <c r="I24" s="102"/>
      <c r="J24" s="102"/>
    </row>
    <row r="25" spans="1:10" s="100" customFormat="1" x14ac:dyDescent="0.2">
      <c r="A25" s="100" t="s">
        <v>377</v>
      </c>
      <c r="B25" s="107" t="str">
        <f>Water!A31</f>
        <v>AO_W10_2</v>
      </c>
      <c r="C25" s="99" t="s">
        <v>370</v>
      </c>
      <c r="D25" s="99" t="s">
        <v>311</v>
      </c>
      <c r="E25" s="99">
        <v>2</v>
      </c>
      <c r="F25" s="102"/>
      <c r="G25" s="110">
        <f>Water!Q31</f>
        <v>3.388018251809914</v>
      </c>
      <c r="H25" s="102"/>
      <c r="I25" s="102"/>
      <c r="J25" s="102"/>
    </row>
    <row r="26" spans="1:10" s="100" customFormat="1" x14ac:dyDescent="0.2">
      <c r="A26" s="100" t="s">
        <v>377</v>
      </c>
      <c r="B26" s="107" t="str">
        <f>Water!A32</f>
        <v>AO_W10_3</v>
      </c>
      <c r="C26" s="99" t="s">
        <v>370</v>
      </c>
      <c r="D26" s="99" t="s">
        <v>311</v>
      </c>
      <c r="E26" s="99">
        <v>3</v>
      </c>
      <c r="F26" s="102"/>
      <c r="G26" s="110">
        <f>Water!Q32</f>
        <v>3.3338984566027823</v>
      </c>
      <c r="H26" s="102"/>
      <c r="I26" s="102"/>
      <c r="J26" s="102"/>
    </row>
    <row r="27" spans="1:10" s="100" customFormat="1" x14ac:dyDescent="0.2">
      <c r="A27" s="100" t="s">
        <v>377</v>
      </c>
      <c r="B27" s="107" t="str">
        <f>Water!A33</f>
        <v>AO_W10_4</v>
      </c>
      <c r="C27" s="99" t="s">
        <v>370</v>
      </c>
      <c r="D27" s="99" t="s">
        <v>311</v>
      </c>
      <c r="E27" s="99">
        <v>4</v>
      </c>
      <c r="F27" s="102"/>
      <c r="G27" s="110">
        <f>Water!Q33</f>
        <v>5.1797245979462412</v>
      </c>
      <c r="H27" s="102"/>
      <c r="I27" s="102"/>
      <c r="J27" s="102"/>
    </row>
    <row r="28" spans="1:10" s="100" customFormat="1" x14ac:dyDescent="0.2">
      <c r="A28" s="100" t="s">
        <v>377</v>
      </c>
      <c r="B28" s="107" t="str">
        <f>Water!A34</f>
        <v>AO_W10_5</v>
      </c>
      <c r="C28" s="99" t="s">
        <v>370</v>
      </c>
      <c r="D28" s="99" t="s">
        <v>311</v>
      </c>
      <c r="E28" s="99">
        <v>5</v>
      </c>
      <c r="F28" s="102"/>
      <c r="G28" s="110">
        <f>Water!Q34</f>
        <v>5.5255091316396614</v>
      </c>
      <c r="H28" s="102"/>
      <c r="I28" s="102"/>
      <c r="J28" s="102"/>
    </row>
    <row r="29" spans="1:10" s="100" customFormat="1" x14ac:dyDescent="0.2">
      <c r="A29" s="100" t="s">
        <v>377</v>
      </c>
      <c r="B29" s="107" t="str">
        <f>Water!A35</f>
        <v>AO_W11_1</v>
      </c>
      <c r="C29" s="99" t="s">
        <v>370</v>
      </c>
      <c r="D29" s="99" t="s">
        <v>312</v>
      </c>
      <c r="E29" s="99">
        <v>1</v>
      </c>
      <c r="F29" s="102"/>
      <c r="G29" s="110">
        <f>Water!Q35</f>
        <v>0.74646889330099464</v>
      </c>
      <c r="H29" s="102"/>
      <c r="I29" s="102"/>
      <c r="J29" s="102"/>
    </row>
    <row r="30" spans="1:10" s="100" customFormat="1" x14ac:dyDescent="0.2">
      <c r="A30" s="100" t="s">
        <v>377</v>
      </c>
      <c r="B30" s="107" t="str">
        <f>Water!A36</f>
        <v>AO_W11_2</v>
      </c>
      <c r="C30" s="99" t="s">
        <v>370</v>
      </c>
      <c r="D30" s="99" t="s">
        <v>312</v>
      </c>
      <c r="E30" s="99">
        <v>2</v>
      </c>
      <c r="F30" s="102"/>
      <c r="G30" s="110">
        <f>Water!Q36</f>
        <v>4.4598480523365636</v>
      </c>
      <c r="H30" s="102"/>
      <c r="I30" s="102"/>
      <c r="J30" s="102"/>
    </row>
    <row r="31" spans="1:10" s="100" customFormat="1" x14ac:dyDescent="0.2">
      <c r="A31" s="100" t="s">
        <v>377</v>
      </c>
      <c r="B31" s="107" t="str">
        <f>Water!A37</f>
        <v>AO_W11_3</v>
      </c>
      <c r="C31" s="99" t="s">
        <v>370</v>
      </c>
      <c r="D31" s="99" t="s">
        <v>312</v>
      </c>
      <c r="E31" s="99">
        <v>3</v>
      </c>
      <c r="F31" s="102"/>
      <c r="G31" s="110">
        <f>Water!Q37</f>
        <v>3.1231062540861982</v>
      </c>
      <c r="H31" s="102"/>
      <c r="I31" s="102"/>
      <c r="J31" s="102"/>
    </row>
    <row r="32" spans="1:10" s="100" customFormat="1" x14ac:dyDescent="0.2">
      <c r="A32" s="100" t="s">
        <v>377</v>
      </c>
      <c r="B32" s="107" t="str">
        <f>Water!A38</f>
        <v>AO_W12_1</v>
      </c>
      <c r="C32" s="99" t="s">
        <v>370</v>
      </c>
      <c r="D32" s="99" t="s">
        <v>313</v>
      </c>
      <c r="E32" s="99">
        <v>1</v>
      </c>
      <c r="F32" s="102"/>
      <c r="G32" s="110">
        <f>Water!Q38</f>
        <v>1.8969084990266599E-2</v>
      </c>
      <c r="H32" s="102"/>
      <c r="I32" s="102"/>
      <c r="J32" s="102"/>
    </row>
    <row r="33" spans="1:10" s="100" customFormat="1" x14ac:dyDescent="0.2">
      <c r="A33" s="100" t="s">
        <v>377</v>
      </c>
      <c r="B33" s="107" t="str">
        <f>Water!A39</f>
        <v>AO_W12_2</v>
      </c>
      <c r="C33" s="99" t="s">
        <v>370</v>
      </c>
      <c r="D33" s="99" t="s">
        <v>313</v>
      </c>
      <c r="E33" s="99">
        <v>2</v>
      </c>
      <c r="F33" s="102"/>
      <c r="G33" s="110">
        <f>Water!Q39</f>
        <v>1.098717504047019E-2</v>
      </c>
      <c r="H33" s="102"/>
      <c r="I33" s="102"/>
      <c r="J33" s="102"/>
    </row>
    <row r="34" spans="1:10" s="100" customFormat="1" x14ac:dyDescent="0.2">
      <c r="A34" s="100" t="s">
        <v>377</v>
      </c>
      <c r="B34" s="107" t="str">
        <f>Water!A40</f>
        <v>AO_W12_3</v>
      </c>
      <c r="C34" s="99" t="s">
        <v>370</v>
      </c>
      <c r="D34" s="99" t="s">
        <v>313</v>
      </c>
      <c r="E34" s="99">
        <v>3</v>
      </c>
      <c r="F34" s="102"/>
      <c r="G34" s="110">
        <f>Water!Q40</f>
        <v>2.4591845017175002E-2</v>
      </c>
      <c r="H34" s="102"/>
      <c r="I34" s="102"/>
      <c r="J34" s="102"/>
    </row>
    <row r="35" spans="1:10" s="100" customFormat="1" x14ac:dyDescent="0.2">
      <c r="A35" s="100" t="s">
        <v>377</v>
      </c>
      <c r="B35" s="107" t="str">
        <f>Water!A41</f>
        <v>AO_W12_4</v>
      </c>
      <c r="C35" s="99" t="s">
        <v>370</v>
      </c>
      <c r="D35" s="99" t="s">
        <v>313</v>
      </c>
      <c r="E35" s="99">
        <v>4</v>
      </c>
      <c r="F35" s="102"/>
      <c r="G35" s="110">
        <f>Water!Q41</f>
        <v>2.7985134468834667E-2</v>
      </c>
      <c r="H35" s="102"/>
      <c r="I35" s="102"/>
      <c r="J35" s="102"/>
    </row>
    <row r="36" spans="1:10" s="100" customFormat="1" x14ac:dyDescent="0.2">
      <c r="A36" s="100" t="s">
        <v>377</v>
      </c>
      <c r="B36" s="107" t="str">
        <f>Water!A42</f>
        <v>AO_W13_1</v>
      </c>
      <c r="C36" s="99" t="s">
        <v>370</v>
      </c>
      <c r="D36" s="99" t="s">
        <v>314</v>
      </c>
      <c r="E36" s="99">
        <v>1</v>
      </c>
      <c r="F36" s="102"/>
      <c r="G36" s="110">
        <f>Water!Q42</f>
        <v>6.7997784985885374</v>
      </c>
      <c r="H36" s="102"/>
      <c r="I36" s="102"/>
      <c r="J36" s="102"/>
    </row>
    <row r="37" spans="1:10" s="100" customFormat="1" x14ac:dyDescent="0.2">
      <c r="A37" s="100" t="s">
        <v>377</v>
      </c>
      <c r="B37" s="107" t="str">
        <f>Water!A43</f>
        <v>AO_W13_2</v>
      </c>
      <c r="C37" s="99" t="s">
        <v>370</v>
      </c>
      <c r="D37" s="99" t="s">
        <v>314</v>
      </c>
      <c r="E37" s="99">
        <v>2</v>
      </c>
      <c r="F37" s="102"/>
      <c r="G37" s="110">
        <f>Water!Q43</f>
        <v>16.811708232570375</v>
      </c>
      <c r="H37" s="102"/>
      <c r="I37" s="102"/>
      <c r="J37" s="102"/>
    </row>
    <row r="38" spans="1:10" s="100" customFormat="1" x14ac:dyDescent="0.2">
      <c r="A38" s="100" t="s">
        <v>377</v>
      </c>
      <c r="B38" s="107" t="str">
        <f>Water!A44</f>
        <v>AO_W13_3</v>
      </c>
      <c r="C38" s="99" t="s">
        <v>370</v>
      </c>
      <c r="D38" s="99" t="s">
        <v>314</v>
      </c>
      <c r="E38" s="99">
        <v>3</v>
      </c>
      <c r="F38" s="102"/>
      <c r="G38" s="110">
        <f>Water!Q44</f>
        <v>1.0188672368073255</v>
      </c>
      <c r="H38" s="102"/>
      <c r="I38" s="102"/>
      <c r="J38" s="102"/>
    </row>
    <row r="39" spans="1:10" s="100" customFormat="1" x14ac:dyDescent="0.2">
      <c r="A39" s="100" t="s">
        <v>377</v>
      </c>
      <c r="B39" s="107" t="str">
        <f>Water!A45</f>
        <v>AO_W14_1</v>
      </c>
      <c r="C39" s="99" t="s">
        <v>370</v>
      </c>
      <c r="D39" s="99" t="s">
        <v>315</v>
      </c>
      <c r="E39" s="99">
        <v>1</v>
      </c>
      <c r="F39" s="102"/>
      <c r="G39" s="110">
        <f>Water!Q45</f>
        <v>0.14891468566610572</v>
      </c>
      <c r="H39" s="102"/>
      <c r="I39" s="102"/>
      <c r="J39" s="102"/>
    </row>
    <row r="40" spans="1:10" s="100" customFormat="1" x14ac:dyDescent="0.2">
      <c r="A40" s="100" t="s">
        <v>377</v>
      </c>
      <c r="B40" s="107" t="str">
        <f>Water!A46</f>
        <v>AO_W15_1</v>
      </c>
      <c r="C40" s="99" t="s">
        <v>370</v>
      </c>
      <c r="D40" s="99" t="s">
        <v>316</v>
      </c>
      <c r="E40" s="99">
        <v>1</v>
      </c>
      <c r="F40" s="102"/>
      <c r="G40" s="110">
        <f>Water!Q46</f>
        <v>0.16725153470213314</v>
      </c>
      <c r="H40" s="102"/>
      <c r="I40" s="102"/>
      <c r="J40" s="102"/>
    </row>
    <row r="41" spans="1:10" s="100" customFormat="1" x14ac:dyDescent="0.2">
      <c r="A41" s="100" t="s">
        <v>377</v>
      </c>
      <c r="B41" s="107" t="str">
        <f>Water!A47</f>
        <v>AO_W16_1</v>
      </c>
      <c r="C41" s="99" t="s">
        <v>370</v>
      </c>
      <c r="D41" s="99" t="s">
        <v>372</v>
      </c>
      <c r="E41" s="99">
        <v>1</v>
      </c>
      <c r="F41" s="102"/>
      <c r="G41" s="110">
        <f>Water!Q47</f>
        <v>6.2670649186295196E-2</v>
      </c>
      <c r="H41" s="102"/>
      <c r="I41" s="102"/>
      <c r="J41" s="102"/>
    </row>
    <row r="42" spans="1:10" s="100" customFormat="1" x14ac:dyDescent="0.25">
      <c r="A42" s="100" t="s">
        <v>377</v>
      </c>
      <c r="B42" s="107" t="str">
        <f>Water!A48</f>
        <v>AO_W16_2</v>
      </c>
      <c r="C42" s="99" t="s">
        <v>370</v>
      </c>
      <c r="D42" s="99" t="s">
        <v>372</v>
      </c>
      <c r="E42" s="99">
        <v>2</v>
      </c>
      <c r="F42" s="102"/>
      <c r="G42" s="110">
        <f>Water!Q48</f>
        <v>4.3901323021699655E-2</v>
      </c>
      <c r="H42" s="102"/>
      <c r="I42" s="102"/>
      <c r="J42" s="102"/>
    </row>
    <row r="43" spans="1:10" s="100" customFormat="1" x14ac:dyDescent="0.25">
      <c r="A43" s="100" t="s">
        <v>377</v>
      </c>
      <c r="B43" s="107" t="str">
        <f>Water!A49</f>
        <v>AO_W16_3</v>
      </c>
      <c r="C43" s="99" t="s">
        <v>370</v>
      </c>
      <c r="D43" s="99" t="s">
        <v>372</v>
      </c>
      <c r="E43" s="99">
        <v>3</v>
      </c>
      <c r="F43" s="102"/>
      <c r="G43" s="110">
        <f>Water!Q49</f>
        <v>3.1057490215915733E-2</v>
      </c>
      <c r="H43" s="102"/>
      <c r="I43" s="102"/>
      <c r="J43" s="102"/>
    </row>
    <row r="44" spans="1:10" s="100" customFormat="1" x14ac:dyDescent="0.25">
      <c r="A44" s="100" t="s">
        <v>378</v>
      </c>
      <c r="B44" s="107" t="str">
        <f>Filter!B8</f>
        <v>AFP-W0-1</v>
      </c>
      <c r="C44" s="99" t="s">
        <v>373</v>
      </c>
      <c r="D44" s="99" t="s">
        <v>300</v>
      </c>
      <c r="E44" s="99">
        <v>1</v>
      </c>
      <c r="F44" s="102"/>
      <c r="G44" s="111">
        <f>Filter!T8</f>
        <v>0.64472898635091991</v>
      </c>
      <c r="H44" s="102"/>
      <c r="I44" s="102"/>
      <c r="J44" s="102"/>
    </row>
    <row r="45" spans="1:10" s="100" customFormat="1" x14ac:dyDescent="0.25">
      <c r="A45" s="100" t="s">
        <v>378</v>
      </c>
      <c r="B45" s="107" t="str">
        <f>Filter!B9</f>
        <v>AFP-W1-1</v>
      </c>
      <c r="C45" s="99" t="s">
        <v>373</v>
      </c>
      <c r="D45" s="99" t="s">
        <v>302</v>
      </c>
      <c r="E45" s="99">
        <v>1</v>
      </c>
      <c r="F45" s="102"/>
      <c r="G45" s="111">
        <f>Filter!T9</f>
        <v>0.12588973583175658</v>
      </c>
      <c r="H45" s="102"/>
      <c r="I45" s="102"/>
      <c r="J45" s="102"/>
    </row>
    <row r="46" spans="1:10" s="100" customFormat="1" x14ac:dyDescent="0.25">
      <c r="A46" s="100" t="s">
        <v>378</v>
      </c>
      <c r="B46" s="107" t="str">
        <f>Filter!B10</f>
        <v>AFP-W1-2</v>
      </c>
      <c r="C46" s="99" t="s">
        <v>373</v>
      </c>
      <c r="D46" s="99" t="s">
        <v>302</v>
      </c>
      <c r="E46" s="99">
        <v>2</v>
      </c>
      <c r="F46" s="102"/>
      <c r="G46" s="111">
        <f>Filter!T10</f>
        <v>0.43578716068489631</v>
      </c>
      <c r="H46" s="102"/>
      <c r="I46" s="102"/>
      <c r="J46" s="102"/>
    </row>
    <row r="47" spans="1:10" s="100" customFormat="1" x14ac:dyDescent="0.25">
      <c r="A47" s="100" t="s">
        <v>378</v>
      </c>
      <c r="B47" s="107" t="str">
        <f>Filter!B11</f>
        <v>AFP-W2-1</v>
      </c>
      <c r="C47" s="99" t="s">
        <v>373</v>
      </c>
      <c r="D47" s="99" t="s">
        <v>303</v>
      </c>
      <c r="E47" s="99">
        <v>1</v>
      </c>
      <c r="F47" s="102"/>
      <c r="G47" s="111">
        <f>Filter!T11</f>
        <v>7.9352671068833133E-2</v>
      </c>
      <c r="H47" s="102"/>
      <c r="I47" s="102"/>
      <c r="J47" s="102"/>
    </row>
    <row r="48" spans="1:10" s="100" customFormat="1" x14ac:dyDescent="0.25">
      <c r="A48" s="100" t="s">
        <v>378</v>
      </c>
      <c r="B48" s="107" t="str">
        <f>Filter!B12</f>
        <v>AFP-W2-2</v>
      </c>
      <c r="C48" s="99" t="s">
        <v>373</v>
      </c>
      <c r="D48" s="99" t="s">
        <v>303</v>
      </c>
      <c r="E48" s="99">
        <v>2</v>
      </c>
      <c r="F48" s="102"/>
      <c r="G48" s="111">
        <f>Filter!T12</f>
        <v>5.0752696100935482E-2</v>
      </c>
      <c r="H48" s="102"/>
      <c r="I48" s="102"/>
      <c r="J48" s="102"/>
    </row>
    <row r="49" spans="1:10" s="100" customFormat="1" x14ac:dyDescent="0.25">
      <c r="A49" s="100" t="s">
        <v>378</v>
      </c>
      <c r="B49" s="107" t="str">
        <f>Filter!B13</f>
        <v>AFP-W3-1</v>
      </c>
      <c r="C49" s="99" t="s">
        <v>373</v>
      </c>
      <c r="D49" s="99" t="s">
        <v>304</v>
      </c>
      <c r="E49" s="99">
        <v>1</v>
      </c>
      <c r="F49" s="102"/>
      <c r="G49" s="111">
        <f>Filter!T13</f>
        <v>8.1774869657092172E-2</v>
      </c>
      <c r="H49" s="102"/>
      <c r="I49" s="102"/>
      <c r="J49" s="102"/>
    </row>
    <row r="50" spans="1:10" s="100" customFormat="1" x14ac:dyDescent="0.25">
      <c r="A50" s="100" t="s">
        <v>378</v>
      </c>
      <c r="B50" s="107" t="str">
        <f>Filter!B14</f>
        <v>AFP-W3-2</v>
      </c>
      <c r="C50" s="99" t="s">
        <v>373</v>
      </c>
      <c r="D50" s="99" t="s">
        <v>304</v>
      </c>
      <c r="E50" s="99">
        <v>2</v>
      </c>
      <c r="F50" s="102"/>
      <c r="G50" s="111">
        <f>Filter!T14</f>
        <v>0.16706901335650368</v>
      </c>
      <c r="H50" s="102"/>
      <c r="I50" s="102"/>
      <c r="J50" s="102"/>
    </row>
    <row r="51" spans="1:10" s="100" customFormat="1" x14ac:dyDescent="0.25">
      <c r="A51" s="100" t="s">
        <v>378</v>
      </c>
      <c r="B51" s="107" t="str">
        <f>Filter!B15</f>
        <v>AFP-W3-3</v>
      </c>
      <c r="C51" s="99" t="s">
        <v>373</v>
      </c>
      <c r="D51" s="99" t="s">
        <v>304</v>
      </c>
      <c r="E51" s="99">
        <v>3</v>
      </c>
      <c r="F51" s="102"/>
      <c r="G51" s="111">
        <f>Filter!T15</f>
        <v>3.1236742352614311E-2</v>
      </c>
      <c r="H51" s="102"/>
      <c r="I51" s="102"/>
      <c r="J51" s="102"/>
    </row>
    <row r="52" spans="1:10" s="100" customFormat="1" x14ac:dyDescent="0.25">
      <c r="A52" s="100" t="s">
        <v>378</v>
      </c>
      <c r="B52" s="107" t="str">
        <f>Filter!B16</f>
        <v>AFP-W4-1</v>
      </c>
      <c r="C52" s="99" t="s">
        <v>373</v>
      </c>
      <c r="D52" s="99" t="s">
        <v>305</v>
      </c>
      <c r="E52" s="99">
        <v>1</v>
      </c>
      <c r="F52" s="102"/>
      <c r="G52" s="111">
        <f>Filter!T16</f>
        <v>0.62821807461182733</v>
      </c>
      <c r="H52" s="102"/>
      <c r="I52" s="102"/>
      <c r="J52" s="102"/>
    </row>
    <row r="53" spans="1:10" s="100" customFormat="1" x14ac:dyDescent="0.25">
      <c r="A53" s="100" t="s">
        <v>378</v>
      </c>
      <c r="B53" s="107" t="str">
        <f>Filter!B17</f>
        <v>AFP-W5-1</v>
      </c>
      <c r="C53" s="99" t="s">
        <v>373</v>
      </c>
      <c r="D53" s="99" t="s">
        <v>306</v>
      </c>
      <c r="E53" s="99">
        <v>1</v>
      </c>
      <c r="F53" s="102"/>
      <c r="G53" s="111">
        <f>Filter!T17</f>
        <v>2.0095544746633654E-2</v>
      </c>
      <c r="H53" s="102"/>
      <c r="I53" s="102"/>
      <c r="J53" s="102"/>
    </row>
    <row r="54" spans="1:10" s="100" customFormat="1" x14ac:dyDescent="0.25">
      <c r="A54" s="100" t="s">
        <v>378</v>
      </c>
      <c r="B54" s="107" t="str">
        <f>Filter!B18</f>
        <v>AFP-W5-2</v>
      </c>
      <c r="C54" s="99" t="s">
        <v>373</v>
      </c>
      <c r="D54" s="99" t="s">
        <v>306</v>
      </c>
      <c r="E54" s="99">
        <v>2</v>
      </c>
      <c r="F54" s="102"/>
      <c r="G54" s="111">
        <f>Filter!T18</f>
        <v>2.2323815156182269E-2</v>
      </c>
      <c r="H54" s="102"/>
      <c r="I54" s="102"/>
      <c r="J54" s="102"/>
    </row>
    <row r="55" spans="1:10" s="100" customFormat="1" x14ac:dyDescent="0.25">
      <c r="A55" s="100" t="s">
        <v>378</v>
      </c>
      <c r="B55" s="107" t="str">
        <f>Filter!B19</f>
        <v>AFP-W6-1</v>
      </c>
      <c r="C55" s="99" t="s">
        <v>373</v>
      </c>
      <c r="D55" s="99" t="s">
        <v>307</v>
      </c>
      <c r="E55" s="99">
        <v>1</v>
      </c>
      <c r="F55" s="102"/>
      <c r="G55" s="111">
        <f>Filter!T19</f>
        <v>3.2764911874718659E-2</v>
      </c>
      <c r="H55" s="102"/>
      <c r="I55" s="102"/>
      <c r="J55" s="102"/>
    </row>
    <row r="56" spans="1:10" s="100" customFormat="1" x14ac:dyDescent="0.25">
      <c r="A56" s="100" t="s">
        <v>378</v>
      </c>
      <c r="B56" s="107" t="str">
        <f>Filter!B20</f>
        <v>AFP-W6-2</v>
      </c>
      <c r="C56" s="99" t="s">
        <v>373</v>
      </c>
      <c r="D56" s="99" t="s">
        <v>307</v>
      </c>
      <c r="E56" s="99">
        <v>2</v>
      </c>
      <c r="F56" s="102"/>
      <c r="G56" s="111">
        <f>Filter!T20</f>
        <v>3.2474950475321104E-2</v>
      </c>
      <c r="H56" s="102"/>
      <c r="I56" s="102"/>
      <c r="J56" s="102"/>
    </row>
    <row r="57" spans="1:10" s="100" customFormat="1" x14ac:dyDescent="0.25">
      <c r="A57" s="100" t="s">
        <v>378</v>
      </c>
      <c r="B57" s="107" t="str">
        <f>Filter!B21</f>
        <v>AFP-W6-3</v>
      </c>
      <c r="C57" s="99" t="s">
        <v>373</v>
      </c>
      <c r="D57" s="99" t="s">
        <v>307</v>
      </c>
      <c r="E57" s="99">
        <v>3</v>
      </c>
      <c r="F57" s="102"/>
      <c r="G57" s="111">
        <f>Filter!T21</f>
        <v>0.30133574252845763</v>
      </c>
      <c r="H57" s="102"/>
      <c r="I57" s="102"/>
      <c r="J57" s="102"/>
    </row>
    <row r="58" spans="1:10" s="100" customFormat="1" x14ac:dyDescent="0.25">
      <c r="A58" s="100" t="s">
        <v>378</v>
      </c>
      <c r="B58" s="107" t="str">
        <f>Filter!B22</f>
        <v>AFP-W6-4</v>
      </c>
      <c r="C58" s="99" t="s">
        <v>373</v>
      </c>
      <c r="D58" s="99" t="s">
        <v>307</v>
      </c>
      <c r="E58" s="99">
        <v>4</v>
      </c>
      <c r="F58" s="102"/>
      <c r="G58" s="111">
        <f>Filter!T22</f>
        <v>5.7573483522077411E-2</v>
      </c>
      <c r="H58" s="102"/>
      <c r="I58" s="102"/>
      <c r="J58" s="102"/>
    </row>
    <row r="59" spans="1:10" s="100" customFormat="1" x14ac:dyDescent="0.25">
      <c r="A59" s="100" t="s">
        <v>378</v>
      </c>
      <c r="B59" s="107" t="str">
        <f>Filter!B23</f>
        <v>AFP-W7-1</v>
      </c>
      <c r="C59" s="99" t="s">
        <v>373</v>
      </c>
      <c r="D59" s="99" t="s">
        <v>308</v>
      </c>
      <c r="E59" s="99">
        <v>1</v>
      </c>
      <c r="F59" s="102"/>
      <c r="G59" s="111">
        <f>Filter!T23</f>
        <v>2.5046566887829757E-2</v>
      </c>
      <c r="H59" s="102"/>
      <c r="I59" s="102"/>
      <c r="J59" s="102"/>
    </row>
    <row r="60" spans="1:10" s="100" customFormat="1" x14ac:dyDescent="0.25">
      <c r="A60" s="100" t="s">
        <v>378</v>
      </c>
      <c r="B60" s="107" t="str">
        <f>Filter!B51</f>
        <v>AFP-W6-3 J+7</v>
      </c>
      <c r="C60" s="99" t="s">
        <v>373</v>
      </c>
      <c r="D60" s="99" t="s">
        <v>307</v>
      </c>
      <c r="E60" s="99" t="s">
        <v>374</v>
      </c>
      <c r="F60" s="102" t="s">
        <v>371</v>
      </c>
      <c r="G60" s="111">
        <f>Filter!T51</f>
        <v>0.12954495754918158</v>
      </c>
      <c r="H60" s="102"/>
      <c r="I60" s="102"/>
      <c r="J60" s="102"/>
    </row>
    <row r="61" spans="1:10" s="100" customFormat="1" x14ac:dyDescent="0.25">
      <c r="A61" s="100" t="s">
        <v>378</v>
      </c>
      <c r="B61" s="107" t="str">
        <f>Filter!B24</f>
        <v>AFP-W8-1</v>
      </c>
      <c r="C61" s="99" t="s">
        <v>373</v>
      </c>
      <c r="D61" s="99" t="s">
        <v>309</v>
      </c>
      <c r="E61" s="99">
        <v>1</v>
      </c>
      <c r="F61" s="102"/>
      <c r="G61" s="111">
        <f>Filter!T24</f>
        <v>9.7228489896394182E-3</v>
      </c>
      <c r="H61" s="102"/>
      <c r="I61" s="102"/>
      <c r="J61" s="102"/>
    </row>
    <row r="62" spans="1:10" s="100" customFormat="1" x14ac:dyDescent="0.25">
      <c r="A62" s="100" t="s">
        <v>378</v>
      </c>
      <c r="B62" s="107" t="str">
        <f>Filter!B25</f>
        <v>AFP-W9-1</v>
      </c>
      <c r="C62" s="99" t="s">
        <v>373</v>
      </c>
      <c r="D62" s="99" t="s">
        <v>310</v>
      </c>
      <c r="E62" s="99">
        <v>1</v>
      </c>
      <c r="F62" s="102"/>
      <c r="G62" s="111">
        <f>Filter!T25</f>
        <v>4.0834951522989958E-2</v>
      </c>
      <c r="H62" s="102"/>
      <c r="I62" s="102"/>
      <c r="J62" s="102"/>
    </row>
    <row r="63" spans="1:10" s="100" customFormat="1" x14ac:dyDescent="0.25">
      <c r="A63" s="100" t="s">
        <v>378</v>
      </c>
      <c r="B63" s="107" t="str">
        <f>Filter!B26</f>
        <v>AFP-W9-2</v>
      </c>
      <c r="C63" s="99" t="s">
        <v>373</v>
      </c>
      <c r="D63" s="99" t="s">
        <v>310</v>
      </c>
      <c r="E63" s="99">
        <v>2</v>
      </c>
      <c r="F63" s="102"/>
      <c r="G63" s="111">
        <f>Filter!T26</f>
        <v>1.2539998506653022E-2</v>
      </c>
      <c r="H63" s="102"/>
      <c r="I63" s="102"/>
      <c r="J63" s="102"/>
    </row>
    <row r="64" spans="1:10" s="100" customFormat="1" x14ac:dyDescent="0.25">
      <c r="A64" s="100" t="s">
        <v>378</v>
      </c>
      <c r="B64" s="107" t="str">
        <f>Filter!B27</f>
        <v>AFP-W9-3</v>
      </c>
      <c r="C64" s="99" t="s">
        <v>373</v>
      </c>
      <c r="D64" s="99" t="s">
        <v>310</v>
      </c>
      <c r="E64" s="99">
        <v>3</v>
      </c>
      <c r="F64" s="102"/>
      <c r="G64" s="111">
        <f>Filter!T27</f>
        <v>0.25756249222758165</v>
      </c>
      <c r="H64" s="102"/>
      <c r="I64" s="102"/>
      <c r="J64" s="102"/>
    </row>
    <row r="65" spans="1:10" s="100" customFormat="1" x14ac:dyDescent="0.25">
      <c r="A65" s="100" t="s">
        <v>378</v>
      </c>
      <c r="B65" s="107" t="str">
        <f>Filter!B28</f>
        <v>AFP-W9-4</v>
      </c>
      <c r="C65" s="99" t="s">
        <v>373</v>
      </c>
      <c r="D65" s="99" t="s">
        <v>310</v>
      </c>
      <c r="E65" s="99">
        <v>4</v>
      </c>
      <c r="F65" s="102"/>
      <c r="G65" s="111">
        <f>Filter!T28</f>
        <v>0.17010364822306159</v>
      </c>
      <c r="H65" s="102"/>
      <c r="I65" s="102"/>
      <c r="J65" s="102"/>
    </row>
    <row r="66" spans="1:10" s="100" customFormat="1" x14ac:dyDescent="0.25">
      <c r="A66" s="100" t="s">
        <v>378</v>
      </c>
      <c r="B66" s="107" t="str">
        <f>Filter!B29</f>
        <v>AFP-W10-1</v>
      </c>
      <c r="C66" s="99" t="s">
        <v>373</v>
      </c>
      <c r="D66" s="99" t="s">
        <v>311</v>
      </c>
      <c r="E66" s="99">
        <v>1</v>
      </c>
      <c r="F66" s="102"/>
      <c r="G66" s="111"/>
      <c r="H66" s="102"/>
      <c r="I66" s="102"/>
      <c r="J66" s="102"/>
    </row>
    <row r="67" spans="1:10" s="100" customFormat="1" x14ac:dyDescent="0.25">
      <c r="A67" s="100" t="s">
        <v>378</v>
      </c>
      <c r="B67" s="107" t="str">
        <f>Filter!B30</f>
        <v>AFP-W10-2</v>
      </c>
      <c r="C67" s="99" t="s">
        <v>373</v>
      </c>
      <c r="D67" s="99" t="s">
        <v>311</v>
      </c>
      <c r="E67" s="99">
        <v>2</v>
      </c>
      <c r="F67" s="102"/>
      <c r="G67" s="111"/>
      <c r="H67" s="102"/>
      <c r="I67" s="102"/>
      <c r="J67" s="102"/>
    </row>
    <row r="68" spans="1:10" s="100" customFormat="1" x14ac:dyDescent="0.25">
      <c r="A68" s="100" t="s">
        <v>378</v>
      </c>
      <c r="B68" s="107" t="str">
        <f>Filter!B31</f>
        <v>AFP-W10-3</v>
      </c>
      <c r="C68" s="99" t="s">
        <v>373</v>
      </c>
      <c r="D68" s="99" t="s">
        <v>311</v>
      </c>
      <c r="E68" s="99">
        <v>3</v>
      </c>
      <c r="F68" s="102"/>
      <c r="G68" s="111"/>
      <c r="H68" s="102"/>
      <c r="I68" s="102"/>
      <c r="J68" s="102"/>
    </row>
    <row r="69" spans="1:10" s="100" customFormat="1" x14ac:dyDescent="0.25">
      <c r="A69" s="100" t="s">
        <v>378</v>
      </c>
      <c r="B69" s="107" t="str">
        <f>Filter!B32</f>
        <v>AFP-W10-4</v>
      </c>
      <c r="C69" s="99" t="s">
        <v>373</v>
      </c>
      <c r="D69" s="99" t="s">
        <v>311</v>
      </c>
      <c r="E69" s="99">
        <v>4</v>
      </c>
      <c r="F69" s="102"/>
      <c r="G69" s="111"/>
      <c r="H69" s="102"/>
      <c r="I69" s="102"/>
      <c r="J69" s="102"/>
    </row>
    <row r="70" spans="1:10" s="100" customFormat="1" x14ac:dyDescent="0.25">
      <c r="A70" s="100" t="s">
        <v>378</v>
      </c>
      <c r="B70" s="107" t="str">
        <f>Filter!B33</f>
        <v>AFP-W10-5</v>
      </c>
      <c r="C70" s="99" t="s">
        <v>373</v>
      </c>
      <c r="D70" s="99" t="s">
        <v>311</v>
      </c>
      <c r="E70" s="99">
        <v>5</v>
      </c>
      <c r="F70" s="102"/>
      <c r="G70" s="111"/>
      <c r="H70" s="102"/>
      <c r="I70" s="102"/>
      <c r="J70" s="102"/>
    </row>
    <row r="71" spans="1:10" s="100" customFormat="1" x14ac:dyDescent="0.25">
      <c r="A71" s="100" t="s">
        <v>378</v>
      </c>
      <c r="B71" s="107" t="str">
        <f>Filter!B34</f>
        <v>AFP-W11-1</v>
      </c>
      <c r="C71" s="99" t="s">
        <v>373</v>
      </c>
      <c r="D71" s="99" t="s">
        <v>312</v>
      </c>
      <c r="E71" s="99">
        <v>1</v>
      </c>
      <c r="F71" s="102"/>
      <c r="G71" s="111"/>
      <c r="H71" s="102"/>
      <c r="I71" s="102"/>
      <c r="J71" s="102"/>
    </row>
    <row r="72" spans="1:10" s="100" customFormat="1" x14ac:dyDescent="0.25">
      <c r="A72" s="100" t="s">
        <v>378</v>
      </c>
      <c r="B72" s="107" t="str">
        <f>Filter!B35</f>
        <v>AFP-W11-2</v>
      </c>
      <c r="C72" s="99" t="s">
        <v>373</v>
      </c>
      <c r="D72" s="99" t="s">
        <v>312</v>
      </c>
      <c r="E72" s="99">
        <v>2</v>
      </c>
      <c r="F72" s="102"/>
      <c r="G72" s="111"/>
      <c r="H72" s="102"/>
      <c r="I72" s="102"/>
      <c r="J72" s="102"/>
    </row>
    <row r="73" spans="1:10" s="100" customFormat="1" x14ac:dyDescent="0.25">
      <c r="A73" s="100" t="s">
        <v>378</v>
      </c>
      <c r="B73" s="107" t="str">
        <f>Filter!B36</f>
        <v>AFP-W11-3</v>
      </c>
      <c r="C73" s="99" t="s">
        <v>373</v>
      </c>
      <c r="D73" s="99" t="s">
        <v>312</v>
      </c>
      <c r="E73" s="99">
        <v>3</v>
      </c>
      <c r="F73" s="102"/>
      <c r="G73" s="111"/>
      <c r="H73" s="102"/>
      <c r="I73" s="102"/>
      <c r="J73" s="102"/>
    </row>
    <row r="74" spans="1:10" s="100" customFormat="1" x14ac:dyDescent="0.25">
      <c r="A74" s="100" t="s">
        <v>378</v>
      </c>
      <c r="B74" s="107" t="str">
        <f>Filter!B37</f>
        <v>AFP-W12-1</v>
      </c>
      <c r="C74" s="99" t="s">
        <v>373</v>
      </c>
      <c r="D74" s="99" t="s">
        <v>313</v>
      </c>
      <c r="E74" s="99">
        <v>1</v>
      </c>
      <c r="F74" s="102"/>
      <c r="G74" s="111"/>
      <c r="H74" s="102"/>
      <c r="I74" s="102"/>
      <c r="J74" s="102"/>
    </row>
    <row r="75" spans="1:10" s="100" customFormat="1" x14ac:dyDescent="0.25">
      <c r="A75" s="100" t="s">
        <v>378</v>
      </c>
      <c r="B75" s="107" t="str">
        <f>Filter!B38</f>
        <v>AFP-W12-2</v>
      </c>
      <c r="C75" s="99" t="s">
        <v>373</v>
      </c>
      <c r="D75" s="99" t="s">
        <v>313</v>
      </c>
      <c r="E75" s="99">
        <v>2</v>
      </c>
      <c r="F75" s="102"/>
      <c r="G75" s="111"/>
      <c r="H75" s="102"/>
      <c r="I75" s="102"/>
      <c r="J75" s="102"/>
    </row>
    <row r="76" spans="1:10" s="100" customFormat="1" x14ac:dyDescent="0.25">
      <c r="A76" s="100" t="s">
        <v>378</v>
      </c>
      <c r="B76" s="107" t="str">
        <f>Filter!B39</f>
        <v>AFP-W12-3</v>
      </c>
      <c r="C76" s="99" t="s">
        <v>373</v>
      </c>
      <c r="D76" s="99" t="s">
        <v>313</v>
      </c>
      <c r="E76" s="99">
        <v>3</v>
      </c>
      <c r="F76" s="102"/>
      <c r="G76" s="111"/>
      <c r="H76" s="102"/>
      <c r="I76" s="102"/>
      <c r="J76" s="102"/>
    </row>
    <row r="77" spans="1:10" s="100" customFormat="1" x14ac:dyDescent="0.25">
      <c r="A77" s="100" t="s">
        <v>378</v>
      </c>
      <c r="B77" s="107" t="str">
        <f>Filter!B40</f>
        <v>AFP-W12-4</v>
      </c>
      <c r="C77" s="99" t="s">
        <v>373</v>
      </c>
      <c r="D77" s="99" t="s">
        <v>313</v>
      </c>
      <c r="E77" s="99">
        <v>4</v>
      </c>
      <c r="F77" s="102"/>
      <c r="G77" s="111"/>
      <c r="H77" s="102"/>
      <c r="I77" s="102"/>
      <c r="J77" s="102"/>
    </row>
    <row r="78" spans="1:10" s="100" customFormat="1" x14ac:dyDescent="0.25">
      <c r="A78" s="100" t="s">
        <v>378</v>
      </c>
      <c r="B78" s="107" t="str">
        <f>Filter!B41</f>
        <v>AFP-W13-1</v>
      </c>
      <c r="C78" s="99" t="s">
        <v>373</v>
      </c>
      <c r="D78" s="99" t="s">
        <v>314</v>
      </c>
      <c r="E78" s="99">
        <v>1</v>
      </c>
      <c r="F78" s="102"/>
      <c r="G78" s="111"/>
      <c r="H78" s="102"/>
      <c r="I78" s="102"/>
      <c r="J78" s="102"/>
    </row>
    <row r="79" spans="1:10" s="100" customFormat="1" x14ac:dyDescent="0.25">
      <c r="A79" s="100" t="s">
        <v>378</v>
      </c>
      <c r="B79" s="107" t="str">
        <f>Filter!B42</f>
        <v>AFP-W13-2</v>
      </c>
      <c r="C79" s="99" t="s">
        <v>373</v>
      </c>
      <c r="D79" s="99" t="s">
        <v>314</v>
      </c>
      <c r="E79" s="99">
        <v>2</v>
      </c>
      <c r="F79" s="102"/>
      <c r="G79" s="111"/>
      <c r="H79" s="102"/>
      <c r="I79" s="102"/>
      <c r="J79" s="102"/>
    </row>
    <row r="80" spans="1:10" s="100" customFormat="1" x14ac:dyDescent="0.25">
      <c r="A80" s="100" t="s">
        <v>378</v>
      </c>
      <c r="B80" s="107" t="str">
        <f>Filter!B43</f>
        <v>AFP-W13-3</v>
      </c>
      <c r="C80" s="99" t="s">
        <v>373</v>
      </c>
      <c r="D80" s="99" t="s">
        <v>314</v>
      </c>
      <c r="E80" s="99">
        <v>3</v>
      </c>
      <c r="F80" s="102"/>
      <c r="G80" s="111"/>
      <c r="H80" s="102"/>
      <c r="I80" s="102"/>
      <c r="J80" s="102"/>
    </row>
    <row r="81" spans="1:10" s="100" customFormat="1" x14ac:dyDescent="0.25">
      <c r="A81" s="100" t="s">
        <v>378</v>
      </c>
      <c r="B81" s="107" t="str">
        <f>Filter!B44</f>
        <v>AFP-W14-1</v>
      </c>
      <c r="C81" s="99" t="s">
        <v>373</v>
      </c>
      <c r="D81" s="99" t="s">
        <v>315</v>
      </c>
      <c r="E81" s="99">
        <v>1</v>
      </c>
      <c r="F81" s="102"/>
      <c r="G81" s="111"/>
      <c r="H81" s="102"/>
      <c r="I81" s="102"/>
      <c r="J81" s="102"/>
    </row>
    <row r="82" spans="1:10" s="100" customFormat="1" x14ac:dyDescent="0.25">
      <c r="A82" s="100" t="s">
        <v>378</v>
      </c>
      <c r="B82" s="107" t="str">
        <f>Filter!B45</f>
        <v>AFP-W15-1</v>
      </c>
      <c r="C82" s="99" t="s">
        <v>373</v>
      </c>
      <c r="D82" s="99" t="s">
        <v>316</v>
      </c>
      <c r="E82" s="99">
        <v>1</v>
      </c>
      <c r="F82" s="102"/>
      <c r="G82" s="111"/>
      <c r="H82" s="102"/>
      <c r="I82" s="102"/>
      <c r="J82" s="102"/>
    </row>
    <row r="83" spans="1:10" s="100" customFormat="1" x14ac:dyDescent="0.25">
      <c r="A83" s="100" t="s">
        <v>378</v>
      </c>
      <c r="B83" s="107" t="str">
        <f>Filter!B46</f>
        <v>AFP-W16-1</v>
      </c>
      <c r="C83" s="99" t="s">
        <v>373</v>
      </c>
      <c r="D83" s="99" t="s">
        <v>372</v>
      </c>
      <c r="E83" s="99">
        <v>1</v>
      </c>
      <c r="F83" s="102"/>
      <c r="G83" s="111"/>
      <c r="H83" s="102"/>
      <c r="I83" s="102"/>
      <c r="J83" s="102"/>
    </row>
    <row r="84" spans="1:10" s="100" customFormat="1" x14ac:dyDescent="0.25">
      <c r="A84" s="100" t="s">
        <v>378</v>
      </c>
      <c r="B84" s="107" t="str">
        <f>Filter!B47</f>
        <v>AFP-W16-2</v>
      </c>
      <c r="C84" s="99" t="s">
        <v>373</v>
      </c>
      <c r="D84" s="99" t="s">
        <v>372</v>
      </c>
      <c r="E84" s="99">
        <v>2</v>
      </c>
      <c r="F84" s="102"/>
      <c r="G84" s="111"/>
      <c r="H84" s="102"/>
      <c r="I84" s="102"/>
      <c r="J84" s="102"/>
    </row>
    <row r="85" spans="1:10" s="100" customFormat="1" x14ac:dyDescent="0.25">
      <c r="A85" s="100" t="s">
        <v>378</v>
      </c>
      <c r="B85" s="107" t="str">
        <f>Filter!B48</f>
        <v>AFP-W16-3</v>
      </c>
      <c r="C85" s="99" t="s">
        <v>373</v>
      </c>
      <c r="D85" s="99" t="s">
        <v>372</v>
      </c>
      <c r="E85" s="99">
        <v>3</v>
      </c>
      <c r="F85" s="102"/>
      <c r="G85" s="111"/>
      <c r="H85" s="102"/>
      <c r="I85" s="102"/>
      <c r="J85" s="102"/>
    </row>
    <row r="86" spans="1:10" s="100" customFormat="1" x14ac:dyDescent="0.25">
      <c r="A86" s="100" t="s">
        <v>379</v>
      </c>
      <c r="B86" s="112" t="str">
        <f>Soil_Composite!A17</f>
        <v>AW_N_1</v>
      </c>
      <c r="C86" s="99" t="s">
        <v>376</v>
      </c>
      <c r="D86" s="99" t="s">
        <v>199</v>
      </c>
      <c r="E86" s="99">
        <v>1</v>
      </c>
      <c r="F86" s="99"/>
      <c r="G86" s="111">
        <f>Soil_Composite!Z17</f>
        <v>1.8544809870364711</v>
      </c>
      <c r="H86" s="102"/>
      <c r="I86" s="102"/>
      <c r="J86" s="102"/>
    </row>
    <row r="87" spans="1:10" s="100" customFormat="1" x14ac:dyDescent="0.25">
      <c r="A87" s="100" t="s">
        <v>379</v>
      </c>
      <c r="B87" s="107" t="str">
        <f>Soil_Composite!A18</f>
        <v>AW_N_2</v>
      </c>
      <c r="C87" s="99" t="s">
        <v>376</v>
      </c>
      <c r="D87" s="99" t="s">
        <v>199</v>
      </c>
      <c r="E87" s="99">
        <v>2</v>
      </c>
      <c r="F87" s="99"/>
      <c r="G87" s="111">
        <f>Soil_Composite!Z18</f>
        <v>5.6285149521329148</v>
      </c>
      <c r="H87" s="102"/>
      <c r="I87" s="102"/>
      <c r="J87" s="102"/>
    </row>
    <row r="88" spans="1:10" s="100" customFormat="1" x14ac:dyDescent="0.25">
      <c r="A88" s="100" t="s">
        <v>379</v>
      </c>
      <c r="B88" s="107" t="str">
        <f>Soil_Composite!A19</f>
        <v>AW_N_3</v>
      </c>
      <c r="C88" s="99" t="s">
        <v>376</v>
      </c>
      <c r="D88" s="99" t="s">
        <v>199</v>
      </c>
      <c r="E88" s="99">
        <v>3</v>
      </c>
      <c r="F88" s="99"/>
      <c r="G88" s="111">
        <f>Soil_Composite!Z19</f>
        <v>7.1836621478249993</v>
      </c>
      <c r="H88" s="102"/>
      <c r="I88" s="102"/>
      <c r="J88" s="102"/>
    </row>
    <row r="89" spans="1:10" s="100" customFormat="1" x14ac:dyDescent="0.25">
      <c r="A89" s="100" t="s">
        <v>379</v>
      </c>
      <c r="B89" s="112" t="str">
        <f>Soil_Composite!A20</f>
        <v>AW_N_4</v>
      </c>
      <c r="C89" s="99" t="s">
        <v>376</v>
      </c>
      <c r="D89" s="99" t="s">
        <v>199</v>
      </c>
      <c r="E89" s="99">
        <v>4</v>
      </c>
      <c r="F89" s="99"/>
      <c r="G89" s="111">
        <f>Soil_Composite!Z20</f>
        <v>4.2233451331043623</v>
      </c>
      <c r="H89" s="102"/>
      <c r="I89" s="102"/>
      <c r="J89" s="102"/>
    </row>
    <row r="90" spans="1:10" s="100" customFormat="1" x14ac:dyDescent="0.25">
      <c r="A90" s="100" t="s">
        <v>379</v>
      </c>
      <c r="B90" s="112" t="str">
        <f>Soil_Composite!A21</f>
        <v>AW_N_5</v>
      </c>
      <c r="C90" s="99" t="s">
        <v>376</v>
      </c>
      <c r="D90" s="99" t="s">
        <v>199</v>
      </c>
      <c r="E90" s="99">
        <v>5</v>
      </c>
      <c r="F90" s="99"/>
      <c r="G90" s="111">
        <f>Soil_Composite!Z21</f>
        <v>1.2489044110465524</v>
      </c>
      <c r="H90" s="102"/>
      <c r="I90" s="102"/>
      <c r="J90" s="102"/>
    </row>
    <row r="91" spans="1:10" s="100" customFormat="1" x14ac:dyDescent="0.25">
      <c r="A91" s="100" t="s">
        <v>379</v>
      </c>
      <c r="B91" s="112" t="str">
        <f>Soil_Composite!A22</f>
        <v>AW_N_6</v>
      </c>
      <c r="C91" s="99" t="s">
        <v>376</v>
      </c>
      <c r="D91" s="99" t="s">
        <v>199</v>
      </c>
      <c r="E91" s="99">
        <v>6</v>
      </c>
      <c r="F91" s="99"/>
      <c r="G91" s="111">
        <f>Soil_Composite!Z22</f>
        <v>1.2853255238218517</v>
      </c>
      <c r="H91" s="102"/>
      <c r="I91" s="102"/>
      <c r="J91" s="102"/>
    </row>
    <row r="92" spans="1:10" s="100" customFormat="1" x14ac:dyDescent="0.25">
      <c r="A92" s="100" t="s">
        <v>379</v>
      </c>
      <c r="B92" s="112" t="str">
        <f>Soil_Composite!A23</f>
        <v>AW_N_7</v>
      </c>
      <c r="C92" s="99" t="s">
        <v>376</v>
      </c>
      <c r="D92" s="99" t="s">
        <v>199</v>
      </c>
      <c r="E92" s="99">
        <v>7</v>
      </c>
      <c r="F92" s="99"/>
      <c r="G92" s="111">
        <f>Soil_Composite!Z23</f>
        <v>1.7504548117490371</v>
      </c>
      <c r="H92" s="102"/>
      <c r="I92" s="102"/>
      <c r="J92" s="102"/>
    </row>
    <row r="93" spans="1:10" s="100" customFormat="1" x14ac:dyDescent="0.25">
      <c r="A93" s="100" t="s">
        <v>379</v>
      </c>
      <c r="B93" s="112" t="str">
        <f>Soil_Composite!A24</f>
        <v>AW_N_8</v>
      </c>
      <c r="C93" s="99" t="s">
        <v>376</v>
      </c>
      <c r="D93" s="99" t="s">
        <v>199</v>
      </c>
      <c r="E93" s="99">
        <v>8</v>
      </c>
      <c r="F93" s="99"/>
      <c r="G93" s="111">
        <f>Soil_Composite!Z24</f>
        <v>1.1838609042860146</v>
      </c>
      <c r="H93" s="102"/>
      <c r="I93" s="102"/>
      <c r="J93" s="102"/>
    </row>
    <row r="94" spans="1:10" s="100" customFormat="1" x14ac:dyDescent="0.25">
      <c r="A94" s="100" t="s">
        <v>379</v>
      </c>
      <c r="B94" s="112" t="str">
        <f>Soil_Composite!A25</f>
        <v>AW_N_9</v>
      </c>
      <c r="C94" s="99" t="s">
        <v>376</v>
      </c>
      <c r="D94" s="99" t="s">
        <v>199</v>
      </c>
      <c r="E94" s="99">
        <v>9</v>
      </c>
      <c r="F94" s="99"/>
      <c r="G94" s="111">
        <f>Soil_Composite!Z25</f>
        <v>1.0017347327255637</v>
      </c>
      <c r="H94" s="102"/>
      <c r="I94" s="102"/>
      <c r="J94" s="102"/>
    </row>
    <row r="95" spans="1:10" s="100" customFormat="1" x14ac:dyDescent="0.25">
      <c r="A95" s="100" t="s">
        <v>379</v>
      </c>
      <c r="B95" s="112" t="str">
        <f>Soil_Composite!A26</f>
        <v>AW_N_10</v>
      </c>
      <c r="C95" s="99" t="s">
        <v>376</v>
      </c>
      <c r="D95" s="99" t="s">
        <v>199</v>
      </c>
      <c r="E95" s="99">
        <v>10</v>
      </c>
      <c r="F95" s="99"/>
      <c r="G95" s="111">
        <f>Soil_Composite!Z26</f>
        <v>1.8664028619492665</v>
      </c>
      <c r="H95" s="102"/>
      <c r="I95" s="102"/>
      <c r="J95" s="102"/>
    </row>
    <row r="96" spans="1:10" s="100" customFormat="1" x14ac:dyDescent="0.25">
      <c r="A96" s="100" t="s">
        <v>379</v>
      </c>
      <c r="B96" s="112" t="str">
        <f>Soil_Composite!A27</f>
        <v>AW_N_11</v>
      </c>
      <c r="C96" s="99" t="s">
        <v>376</v>
      </c>
      <c r="D96" s="99" t="s">
        <v>199</v>
      </c>
      <c r="E96" s="99">
        <v>11</v>
      </c>
      <c r="F96" s="99"/>
      <c r="G96" s="111">
        <f>Soil_Composite!Z27</f>
        <v>1.3000524368110224</v>
      </c>
      <c r="H96" s="102"/>
      <c r="I96" s="102"/>
      <c r="J96" s="102"/>
    </row>
    <row r="97" spans="1:10" s="100" customFormat="1" x14ac:dyDescent="0.25">
      <c r="A97" s="100" t="s">
        <v>379</v>
      </c>
      <c r="B97" s="112" t="str">
        <f>Soil_Composite!A28</f>
        <v>AW_N_12</v>
      </c>
      <c r="C97" s="99" t="s">
        <v>376</v>
      </c>
      <c r="D97" s="99" t="s">
        <v>199</v>
      </c>
      <c r="E97" s="99">
        <v>12</v>
      </c>
      <c r="F97" s="99"/>
      <c r="G97" s="111">
        <f>Soil_Composite!Z28</f>
        <v>0.53926714315228086</v>
      </c>
      <c r="H97" s="102"/>
      <c r="I97" s="102"/>
      <c r="J97" s="102"/>
    </row>
    <row r="98" spans="1:10" s="100" customFormat="1" x14ac:dyDescent="0.25">
      <c r="A98" s="100" t="s">
        <v>379</v>
      </c>
      <c r="B98" s="112" t="str">
        <f>Soil_Composite!A29</f>
        <v>AW_N_13</v>
      </c>
      <c r="C98" s="99" t="s">
        <v>376</v>
      </c>
      <c r="D98" s="99" t="s">
        <v>199</v>
      </c>
      <c r="E98" s="99">
        <v>13</v>
      </c>
      <c r="F98" s="99"/>
      <c r="G98" s="111">
        <f>Soil_Composite!Z29</f>
        <v>0.35651763774009076</v>
      </c>
      <c r="H98" s="102"/>
      <c r="I98" s="102"/>
      <c r="J98" s="102"/>
    </row>
    <row r="99" spans="1:10" s="100" customFormat="1" x14ac:dyDescent="0.25">
      <c r="A99" s="100" t="s">
        <v>379</v>
      </c>
      <c r="B99" s="112" t="str">
        <f>Soil_Composite!A30</f>
        <v>AW_N_14</v>
      </c>
      <c r="C99" s="99" t="s">
        <v>376</v>
      </c>
      <c r="D99" s="99" t="s">
        <v>199</v>
      </c>
      <c r="E99" s="99">
        <v>14</v>
      </c>
      <c r="F99" s="99"/>
      <c r="G99" s="111">
        <f>Soil_Composite!Z30</f>
        <v>0.811785638912222</v>
      </c>
      <c r="H99" s="102"/>
      <c r="I99" s="102"/>
      <c r="J99" s="102"/>
    </row>
    <row r="100" spans="1:10" s="100" customFormat="1" x14ac:dyDescent="0.25">
      <c r="A100" s="100" t="s">
        <v>379</v>
      </c>
      <c r="B100" s="112" t="str">
        <f>Soil_Composite!A31</f>
        <v>AW_N_15</v>
      </c>
      <c r="C100" s="99" t="s">
        <v>376</v>
      </c>
      <c r="D100" s="99" t="s">
        <v>199</v>
      </c>
      <c r="E100" s="99">
        <v>15</v>
      </c>
      <c r="F100" s="99"/>
      <c r="G100" s="111">
        <f>Soil_Composite!Z31</f>
        <v>1.1158234020305029</v>
      </c>
      <c r="H100" s="102"/>
      <c r="I100" s="102"/>
      <c r="J100" s="102"/>
    </row>
    <row r="101" spans="1:10" s="100" customFormat="1" x14ac:dyDescent="0.25">
      <c r="A101" s="100" t="s">
        <v>379</v>
      </c>
      <c r="B101" s="112" t="str">
        <f>Soil_Composite!A32</f>
        <v>AW_S_1</v>
      </c>
      <c r="C101" s="99" t="s">
        <v>376</v>
      </c>
      <c r="D101" s="99" t="s">
        <v>201</v>
      </c>
      <c r="E101" s="99">
        <v>1</v>
      </c>
      <c r="F101" s="99"/>
      <c r="G101" s="111">
        <f>Soil_Composite!Z32</f>
        <v>7.6236021127896771</v>
      </c>
      <c r="H101" s="102"/>
      <c r="I101" s="102"/>
      <c r="J101" s="102"/>
    </row>
    <row r="102" spans="1:10" s="100" customFormat="1" x14ac:dyDescent="0.25">
      <c r="A102" s="100" t="s">
        <v>379</v>
      </c>
      <c r="B102" s="107" t="str">
        <f>Soil_Composite!A33</f>
        <v>AW_S_2</v>
      </c>
      <c r="C102" s="99" t="s">
        <v>376</v>
      </c>
      <c r="D102" s="99" t="s">
        <v>201</v>
      </c>
      <c r="E102" s="99">
        <v>2</v>
      </c>
      <c r="F102" s="99"/>
      <c r="G102" s="111">
        <f>Soil_Composite!Z33</f>
        <v>3.6866277973878576</v>
      </c>
      <c r="H102" s="102"/>
      <c r="I102" s="102"/>
      <c r="J102" s="102"/>
    </row>
    <row r="103" spans="1:10" s="100" customFormat="1" x14ac:dyDescent="0.25">
      <c r="A103" s="100" t="s">
        <v>379</v>
      </c>
      <c r="B103" s="107" t="str">
        <f>Soil_Composite!A34</f>
        <v>AW_S_3</v>
      </c>
      <c r="C103" s="99" t="s">
        <v>376</v>
      </c>
      <c r="D103" s="99" t="s">
        <v>201</v>
      </c>
      <c r="E103" s="99">
        <v>3</v>
      </c>
      <c r="F103" s="99"/>
      <c r="G103" s="111">
        <f>Soil_Composite!Z34</f>
        <v>4.9182315046360365</v>
      </c>
      <c r="H103" s="102"/>
      <c r="I103" s="102"/>
      <c r="J103" s="102"/>
    </row>
    <row r="104" spans="1:10" s="100" customFormat="1" x14ac:dyDescent="0.25">
      <c r="A104" s="100" t="s">
        <v>379</v>
      </c>
      <c r="B104" s="112" t="str">
        <f>Soil_Composite!A35</f>
        <v>AW_S_4</v>
      </c>
      <c r="C104" s="99" t="s">
        <v>376</v>
      </c>
      <c r="D104" s="99" t="s">
        <v>201</v>
      </c>
      <c r="E104" s="99">
        <v>4</v>
      </c>
      <c r="F104" s="99"/>
      <c r="G104" s="111">
        <f>Soil_Composite!Z35</f>
        <v>2.5961767042784771</v>
      </c>
      <c r="H104" s="102"/>
      <c r="I104" s="102"/>
      <c r="J104" s="102"/>
    </row>
    <row r="105" spans="1:10" s="100" customFormat="1" x14ac:dyDescent="0.25">
      <c r="A105" s="100" t="s">
        <v>379</v>
      </c>
      <c r="B105" s="112" t="str">
        <f>Soil_Composite!A36</f>
        <v>AW_S_5</v>
      </c>
      <c r="C105" s="99" t="s">
        <v>376</v>
      </c>
      <c r="D105" s="99" t="s">
        <v>201</v>
      </c>
      <c r="E105" s="99">
        <v>5</v>
      </c>
      <c r="F105" s="99"/>
      <c r="G105" s="111">
        <f>Soil_Composite!Z36</f>
        <v>3.2247645620842404</v>
      </c>
      <c r="H105" s="102"/>
      <c r="I105" s="102"/>
      <c r="J105" s="102"/>
    </row>
    <row r="106" spans="1:10" s="100" customFormat="1" x14ac:dyDescent="0.25">
      <c r="A106" s="100" t="s">
        <v>379</v>
      </c>
      <c r="B106" s="112" t="str">
        <f>Soil_Composite!A37</f>
        <v>AW_S_6</v>
      </c>
      <c r="C106" s="99" t="s">
        <v>376</v>
      </c>
      <c r="D106" s="99" t="s">
        <v>201</v>
      </c>
      <c r="E106" s="99">
        <v>6</v>
      </c>
      <c r="F106" s="99"/>
      <c r="G106" s="111">
        <f>Soil_Composite!Z37</f>
        <v>2.4544476946800047</v>
      </c>
      <c r="H106" s="102"/>
      <c r="I106" s="102"/>
      <c r="J106" s="102"/>
    </row>
    <row r="107" spans="1:10" s="100" customFormat="1" x14ac:dyDescent="0.25">
      <c r="A107" s="100" t="s">
        <v>379</v>
      </c>
      <c r="B107" s="112" t="str">
        <f>Soil_Composite!A38</f>
        <v>AW_S_7</v>
      </c>
      <c r="C107" s="99" t="s">
        <v>376</v>
      </c>
      <c r="D107" s="99" t="s">
        <v>201</v>
      </c>
      <c r="E107" s="99">
        <v>7</v>
      </c>
      <c r="F107" s="99"/>
      <c r="G107" s="111">
        <f>Soil_Composite!Z38</f>
        <v>1.7796972726361173</v>
      </c>
      <c r="H107" s="102"/>
      <c r="I107" s="102"/>
      <c r="J107" s="102"/>
    </row>
    <row r="108" spans="1:10" s="100" customFormat="1" x14ac:dyDescent="0.25">
      <c r="A108" s="100" t="s">
        <v>379</v>
      </c>
      <c r="B108" s="112" t="str">
        <f>Soil_Composite!A39</f>
        <v>AW_S_8</v>
      </c>
      <c r="C108" s="99" t="s">
        <v>376</v>
      </c>
      <c r="D108" s="99" t="s">
        <v>201</v>
      </c>
      <c r="E108" s="99">
        <v>8</v>
      </c>
      <c r="F108" s="99"/>
      <c r="G108" s="111">
        <f>Soil_Composite!Z39</f>
        <v>1.2455620315830087</v>
      </c>
      <c r="H108" s="102"/>
      <c r="I108" s="102"/>
      <c r="J108" s="102"/>
    </row>
    <row r="109" spans="1:10" s="100" customFormat="1" x14ac:dyDescent="0.25">
      <c r="A109" s="100" t="s">
        <v>379</v>
      </c>
      <c r="B109" s="112" t="str">
        <f>Soil_Composite!A40</f>
        <v>AW_S_9</v>
      </c>
      <c r="C109" s="99" t="s">
        <v>376</v>
      </c>
      <c r="D109" s="99" t="s">
        <v>201</v>
      </c>
      <c r="E109" s="99">
        <v>9</v>
      </c>
      <c r="F109" s="99"/>
      <c r="G109" s="111">
        <f>Soil_Composite!Z40</f>
        <v>1.2103604539896395</v>
      </c>
      <c r="H109" s="102"/>
      <c r="I109" s="102"/>
      <c r="J109" s="102"/>
    </row>
    <row r="110" spans="1:10" s="100" customFormat="1" x14ac:dyDescent="0.25">
      <c r="A110" s="100" t="s">
        <v>379</v>
      </c>
      <c r="B110" s="112" t="str">
        <f>Soil_Composite!A41</f>
        <v>AW_S_10</v>
      </c>
      <c r="C110" s="99" t="s">
        <v>376</v>
      </c>
      <c r="D110" s="99" t="s">
        <v>201</v>
      </c>
      <c r="E110" s="99">
        <v>10</v>
      </c>
      <c r="F110" s="99"/>
      <c r="G110" s="111">
        <f>Soil_Composite!Z41</f>
        <v>2.3638939805320018</v>
      </c>
      <c r="H110" s="102"/>
      <c r="I110" s="102"/>
      <c r="J110" s="102"/>
    </row>
    <row r="111" spans="1:10" s="100" customFormat="1" x14ac:dyDescent="0.25">
      <c r="A111" s="100" t="s">
        <v>379</v>
      </c>
      <c r="B111" s="112" t="str">
        <f>Soil_Composite!A42</f>
        <v>AW_S_11</v>
      </c>
      <c r="C111" s="99" t="s">
        <v>376</v>
      </c>
      <c r="D111" s="99" t="s">
        <v>201</v>
      </c>
      <c r="E111" s="99">
        <v>11</v>
      </c>
      <c r="F111" s="99"/>
      <c r="G111" s="111">
        <f>Soil_Composite!Z42</f>
        <v>0.86456263656560928</v>
      </c>
      <c r="H111" s="102"/>
      <c r="I111" s="102"/>
      <c r="J111" s="102"/>
    </row>
    <row r="112" spans="1:10" s="100" customFormat="1" x14ac:dyDescent="0.25">
      <c r="A112" s="100" t="s">
        <v>379</v>
      </c>
      <c r="B112" s="112" t="str">
        <f>Soil_Composite!A43</f>
        <v>AW_S_12</v>
      </c>
      <c r="C112" s="99" t="s">
        <v>376</v>
      </c>
      <c r="D112" s="99" t="s">
        <v>201</v>
      </c>
      <c r="E112" s="99">
        <v>12</v>
      </c>
      <c r="F112" s="99"/>
      <c r="G112" s="111">
        <f>Soil_Composite!Z43</f>
        <v>0.90291020097157626</v>
      </c>
      <c r="H112" s="102"/>
      <c r="I112" s="102"/>
      <c r="J112" s="102"/>
    </row>
    <row r="113" spans="1:10" s="100" customFormat="1" x14ac:dyDescent="0.25">
      <c r="A113" s="100" t="s">
        <v>379</v>
      </c>
      <c r="B113" s="112" t="str">
        <f>Soil_Composite!A44</f>
        <v>AW_S_13</v>
      </c>
      <c r="C113" s="99" t="s">
        <v>376</v>
      </c>
      <c r="D113" s="99" t="s">
        <v>201</v>
      </c>
      <c r="E113" s="99">
        <v>13</v>
      </c>
      <c r="F113" s="99"/>
      <c r="G113" s="111">
        <f>Soil_Composite!Z44</f>
        <v>1.3926564653347471</v>
      </c>
      <c r="H113" s="102"/>
      <c r="I113" s="102"/>
      <c r="J113" s="102"/>
    </row>
    <row r="114" spans="1:10" s="100" customFormat="1" x14ac:dyDescent="0.25">
      <c r="A114" s="100" t="s">
        <v>379</v>
      </c>
      <c r="B114" s="112" t="str">
        <f>Soil_Composite!A45</f>
        <v>AW_S_14</v>
      </c>
      <c r="C114" s="99" t="s">
        <v>376</v>
      </c>
      <c r="D114" s="99" t="s">
        <v>201</v>
      </c>
      <c r="E114" s="99">
        <v>14</v>
      </c>
      <c r="F114" s="99"/>
      <c r="G114" s="111">
        <f>Soil_Composite!Z45</f>
        <v>1.1923653632280271</v>
      </c>
      <c r="H114" s="102"/>
      <c r="I114" s="102"/>
      <c r="J114" s="102"/>
    </row>
    <row r="115" spans="1:10" s="100" customFormat="1" x14ac:dyDescent="0.25">
      <c r="A115" s="100" t="s">
        <v>379</v>
      </c>
      <c r="B115" s="112" t="str">
        <f>Soil_Composite!A46</f>
        <v>AW_S_15</v>
      </c>
      <c r="C115" s="99" t="s">
        <v>376</v>
      </c>
      <c r="D115" s="99" t="s">
        <v>201</v>
      </c>
      <c r="E115" s="99">
        <v>15</v>
      </c>
      <c r="F115" s="99"/>
      <c r="G115" s="111">
        <f>Soil_Composite!Z46</f>
        <v>1.3545025099580608</v>
      </c>
      <c r="H115" s="102"/>
      <c r="I115" s="102"/>
      <c r="J115" s="102"/>
    </row>
    <row r="116" spans="1:10" s="100" customFormat="1" x14ac:dyDescent="0.25">
      <c r="A116" s="100" t="s">
        <v>379</v>
      </c>
      <c r="B116" s="112" t="str">
        <f>Soil_Composite!A47</f>
        <v>AW_T_1</v>
      </c>
      <c r="C116" s="99" t="s">
        <v>376</v>
      </c>
      <c r="D116" s="99" t="s">
        <v>200</v>
      </c>
      <c r="E116" s="99">
        <v>1</v>
      </c>
      <c r="F116" s="99"/>
      <c r="G116" s="111">
        <f>Soil_Composite!Z47</f>
        <v>1.7071507771501291</v>
      </c>
      <c r="H116" s="102"/>
      <c r="I116" s="102"/>
      <c r="J116" s="102"/>
    </row>
    <row r="117" spans="1:10" s="100" customFormat="1" x14ac:dyDescent="0.25">
      <c r="A117" s="100" t="s">
        <v>379</v>
      </c>
      <c r="B117" s="107" t="str">
        <f>Soil_Composite!A48</f>
        <v>AW_T_2</v>
      </c>
      <c r="C117" s="99" t="s">
        <v>376</v>
      </c>
      <c r="D117" s="99" t="s">
        <v>200</v>
      </c>
      <c r="E117" s="99">
        <v>2</v>
      </c>
      <c r="F117" s="99"/>
      <c r="G117" s="111">
        <f>Soil_Composite!Z48</f>
        <v>3.5180309540206767</v>
      </c>
      <c r="H117" s="102"/>
      <c r="I117" s="102"/>
      <c r="J117" s="102"/>
    </row>
    <row r="118" spans="1:10" s="100" customFormat="1" x14ac:dyDescent="0.25">
      <c r="A118" s="100" t="s">
        <v>379</v>
      </c>
      <c r="B118" s="107" t="str">
        <f>Soil_Composite!A49</f>
        <v>AW_T_3</v>
      </c>
      <c r="C118" s="99" t="s">
        <v>376</v>
      </c>
      <c r="D118" s="99" t="s">
        <v>200</v>
      </c>
      <c r="E118" s="99">
        <v>3</v>
      </c>
      <c r="F118" s="99"/>
      <c r="G118" s="111">
        <f>Soil_Composite!Z49</f>
        <v>5.0938948913837718</v>
      </c>
      <c r="H118" s="102"/>
      <c r="I118" s="102"/>
      <c r="J118" s="102"/>
    </row>
    <row r="119" spans="1:10" s="100" customFormat="1" x14ac:dyDescent="0.25">
      <c r="A119" s="100" t="s">
        <v>379</v>
      </c>
      <c r="B119" s="112" t="str">
        <f>Soil_Composite!A50</f>
        <v>AW_T_4</v>
      </c>
      <c r="C119" s="99" t="s">
        <v>376</v>
      </c>
      <c r="D119" s="99" t="s">
        <v>200</v>
      </c>
      <c r="E119" s="99">
        <v>4</v>
      </c>
      <c r="F119" s="99"/>
      <c r="G119" s="111">
        <f>Soil_Composite!Z50</f>
        <v>4.6974196794163579</v>
      </c>
      <c r="H119" s="102"/>
      <c r="I119" s="102"/>
      <c r="J119" s="102"/>
    </row>
    <row r="120" spans="1:10" s="100" customFormat="1" x14ac:dyDescent="0.25">
      <c r="A120" s="100" t="s">
        <v>379</v>
      </c>
      <c r="B120" s="112" t="str">
        <f>Soil_Composite!A51</f>
        <v>AW_T_5</v>
      </c>
      <c r="C120" s="99" t="s">
        <v>376</v>
      </c>
      <c r="D120" s="99" t="s">
        <v>200</v>
      </c>
      <c r="E120" s="99">
        <v>5</v>
      </c>
      <c r="F120" s="99"/>
      <c r="G120" s="111">
        <f>Soil_Composite!Z51</f>
        <v>1.9426452073909919</v>
      </c>
      <c r="H120" s="102"/>
      <c r="I120" s="102"/>
      <c r="J120" s="102"/>
    </row>
    <row r="121" spans="1:10" s="100" customFormat="1" x14ac:dyDescent="0.25">
      <c r="A121" s="100" t="s">
        <v>379</v>
      </c>
      <c r="B121" s="112" t="str">
        <f>Soil_Composite!A52</f>
        <v>AW_T_6</v>
      </c>
      <c r="C121" s="99" t="s">
        <v>376</v>
      </c>
      <c r="D121" s="99" t="s">
        <v>200</v>
      </c>
      <c r="E121" s="99">
        <v>6</v>
      </c>
      <c r="F121" s="99"/>
      <c r="G121" s="111">
        <f>Soil_Composite!Z52</f>
        <v>2.1284572310787686</v>
      </c>
      <c r="H121" s="102"/>
      <c r="I121" s="102"/>
      <c r="J121" s="102"/>
    </row>
    <row r="122" spans="1:10" s="100" customFormat="1" x14ac:dyDescent="0.25">
      <c r="A122" s="100" t="s">
        <v>379</v>
      </c>
      <c r="B122" s="112" t="str">
        <f>Soil_Composite!A53</f>
        <v>AW_T_7</v>
      </c>
      <c r="C122" s="99" t="s">
        <v>376</v>
      </c>
      <c r="D122" s="99" t="s">
        <v>200</v>
      </c>
      <c r="E122" s="99">
        <v>7</v>
      </c>
      <c r="F122" s="99"/>
      <c r="G122" s="111">
        <f>Soil_Composite!Z53</f>
        <v>0.79491525827572795</v>
      </c>
      <c r="H122" s="102"/>
      <c r="I122" s="102"/>
      <c r="J122" s="102"/>
    </row>
    <row r="123" spans="1:10" s="100" customFormat="1" x14ac:dyDescent="0.25">
      <c r="A123" s="100" t="s">
        <v>379</v>
      </c>
      <c r="B123" s="112" t="str">
        <f>Soil_Composite!A54</f>
        <v>AW_T_8</v>
      </c>
      <c r="C123" s="99" t="s">
        <v>376</v>
      </c>
      <c r="D123" s="99" t="s">
        <v>200</v>
      </c>
      <c r="E123" s="99">
        <v>8</v>
      </c>
      <c r="F123" s="99"/>
      <c r="G123" s="111">
        <f>Soil_Composite!Z54</f>
        <v>0.7261801707049963</v>
      </c>
      <c r="H123" s="102"/>
      <c r="I123" s="102"/>
      <c r="J123" s="102"/>
    </row>
    <row r="124" spans="1:10" s="100" customFormat="1" x14ac:dyDescent="0.25">
      <c r="A124" s="100" t="s">
        <v>379</v>
      </c>
      <c r="B124" s="112" t="str">
        <f>Soil_Composite!A55</f>
        <v>AW_T_9</v>
      </c>
      <c r="C124" s="99" t="s">
        <v>376</v>
      </c>
      <c r="D124" s="99" t="s">
        <v>200</v>
      </c>
      <c r="E124" s="99">
        <v>9</v>
      </c>
      <c r="F124" s="99"/>
      <c r="G124" s="111">
        <f>Soil_Composite!Z55</f>
        <v>2.2314962964842344</v>
      </c>
      <c r="H124" s="102"/>
      <c r="I124" s="102"/>
      <c r="J124" s="102"/>
    </row>
    <row r="125" spans="1:10" s="100" customFormat="1" x14ac:dyDescent="0.25">
      <c r="A125" s="100" t="s">
        <v>379</v>
      </c>
      <c r="B125" s="112" t="str">
        <f>Soil_Composite!A56</f>
        <v>AW_T_10</v>
      </c>
      <c r="C125" s="99" t="s">
        <v>376</v>
      </c>
      <c r="D125" s="99" t="s">
        <v>200</v>
      </c>
      <c r="E125" s="99">
        <v>10</v>
      </c>
      <c r="F125" s="99"/>
      <c r="G125" s="111">
        <f>Soil_Composite!Z56</f>
        <v>2.5894129530466214</v>
      </c>
      <c r="H125" s="102"/>
      <c r="I125" s="102"/>
      <c r="J125" s="102"/>
    </row>
    <row r="126" spans="1:10" s="100" customFormat="1" x14ac:dyDescent="0.25">
      <c r="A126" s="100" t="s">
        <v>379</v>
      </c>
      <c r="B126" s="112" t="str">
        <f>Soil_Composite!A57</f>
        <v>AW_T_11</v>
      </c>
      <c r="C126" s="99" t="s">
        <v>376</v>
      </c>
      <c r="D126" s="99" t="s">
        <v>200</v>
      </c>
      <c r="E126" s="99">
        <v>11</v>
      </c>
      <c r="F126" s="99"/>
      <c r="G126" s="111">
        <f>Soil_Composite!Z57</f>
        <v>2.9121501222881117</v>
      </c>
      <c r="H126" s="102"/>
      <c r="I126" s="102"/>
      <c r="J126" s="102"/>
    </row>
    <row r="127" spans="1:10" s="100" customFormat="1" x14ac:dyDescent="0.25">
      <c r="A127" s="100" t="s">
        <v>379</v>
      </c>
      <c r="B127" s="112" t="str">
        <f>Soil_Composite!A58</f>
        <v>AW_T_12</v>
      </c>
      <c r="C127" s="99" t="s">
        <v>376</v>
      </c>
      <c r="D127" s="99" t="s">
        <v>200</v>
      </c>
      <c r="E127" s="99">
        <v>12</v>
      </c>
      <c r="F127" s="99"/>
      <c r="G127" s="111">
        <f>Soil_Composite!Z58</f>
        <v>3.1934554277577418</v>
      </c>
      <c r="H127" s="102"/>
      <c r="I127" s="102"/>
      <c r="J127" s="102"/>
    </row>
    <row r="128" spans="1:10" s="100" customFormat="1" x14ac:dyDescent="0.25">
      <c r="A128" s="100" t="s">
        <v>379</v>
      </c>
      <c r="B128" s="112" t="str">
        <f>Soil_Composite!A59</f>
        <v>AW_T_13</v>
      </c>
      <c r="C128" s="99" t="s">
        <v>376</v>
      </c>
      <c r="D128" s="99" t="s">
        <v>200</v>
      </c>
      <c r="E128" s="99">
        <v>13</v>
      </c>
      <c r="F128" s="99"/>
      <c r="G128" s="111">
        <f>Soil_Composite!Z59</f>
        <v>2.5561436925926926</v>
      </c>
      <c r="H128" s="102"/>
      <c r="I128" s="102"/>
      <c r="J128" s="102"/>
    </row>
    <row r="129" spans="1:10" s="100" customFormat="1" x14ac:dyDescent="0.25">
      <c r="A129" s="100" t="s">
        <v>379</v>
      </c>
      <c r="B129" s="112" t="str">
        <f>Soil_Composite!A60</f>
        <v>AW_T_14</v>
      </c>
      <c r="C129" s="99" t="s">
        <v>376</v>
      </c>
      <c r="D129" s="99" t="s">
        <v>200</v>
      </c>
      <c r="E129" s="99">
        <v>14</v>
      </c>
      <c r="F129" s="99"/>
      <c r="G129" s="111">
        <f>Soil_Composite!Z60</f>
        <v>1.8513244509122779</v>
      </c>
      <c r="H129" s="102"/>
      <c r="I129" s="102"/>
      <c r="J129" s="102"/>
    </row>
    <row r="130" spans="1:10" s="100" customFormat="1" x14ac:dyDescent="0.25">
      <c r="A130" s="100" t="s">
        <v>379</v>
      </c>
      <c r="B130" s="112" t="str">
        <f>Soil_Composite!A61</f>
        <v>AW_T_15</v>
      </c>
      <c r="C130" s="99" t="s">
        <v>376</v>
      </c>
      <c r="D130" s="99" t="s">
        <v>200</v>
      </c>
      <c r="E130" s="99">
        <v>15</v>
      </c>
      <c r="F130" s="99"/>
      <c r="G130" s="111">
        <f>Soil_Composite!Z61</f>
        <v>1.5305562521836207</v>
      </c>
      <c r="H130" s="102"/>
      <c r="I130" s="102"/>
      <c r="J130" s="102"/>
    </row>
    <row r="131" spans="1:10" x14ac:dyDescent="0.25">
      <c r="A131" s="100" t="s">
        <v>380</v>
      </c>
      <c r="B131" s="108" t="str">
        <f>Soil_Detailed!B8</f>
        <v>N_I_1_D3</v>
      </c>
      <c r="C131" s="101" t="str">
        <f>Soil_Detailed!C8</f>
        <v>N</v>
      </c>
      <c r="D131" s="101" t="str">
        <f>Soil_Detailed!D8</f>
        <v>I</v>
      </c>
      <c r="E131" s="101">
        <f>Soil_Detailed!E8</f>
        <v>1</v>
      </c>
      <c r="F131" s="101" t="str">
        <f>Soil_Detailed!F8</f>
        <v>D3</v>
      </c>
      <c r="G131" s="98">
        <f>Soil_Detailed!J8</f>
        <v>7.1209308306388788E-2</v>
      </c>
    </row>
    <row r="132" spans="1:10" x14ac:dyDescent="0.25">
      <c r="A132" s="100" t="s">
        <v>380</v>
      </c>
      <c r="B132" s="108" t="str">
        <f>Soil_Detailed!B9</f>
        <v>N_I_2_D3</v>
      </c>
      <c r="C132" s="101" t="str">
        <f>Soil_Detailed!C9</f>
        <v>N</v>
      </c>
      <c r="D132" s="101" t="str">
        <f>Soil_Detailed!D9</f>
        <v>I</v>
      </c>
      <c r="E132" s="101">
        <f>Soil_Detailed!E9</f>
        <v>2</v>
      </c>
      <c r="F132" s="101" t="str">
        <f>Soil_Detailed!F9</f>
        <v>D3</v>
      </c>
      <c r="G132" s="98">
        <f>Soil_Detailed!J9</f>
        <v>4.7100274771937105</v>
      </c>
    </row>
    <row r="133" spans="1:10" x14ac:dyDescent="0.25">
      <c r="A133" s="100" t="s">
        <v>380</v>
      </c>
      <c r="B133" s="108" t="str">
        <f>Soil_Detailed!B10</f>
        <v>N_I_3_D3</v>
      </c>
      <c r="C133" s="101" t="str">
        <f>Soil_Detailed!C10</f>
        <v>N</v>
      </c>
      <c r="D133" s="101" t="str">
        <f>Soil_Detailed!D10</f>
        <v>I</v>
      </c>
      <c r="E133" s="101">
        <f>Soil_Detailed!E10</f>
        <v>3</v>
      </c>
      <c r="F133" s="101" t="str">
        <f>Soil_Detailed!F10</f>
        <v>D3</v>
      </c>
      <c r="G133" s="98">
        <f>Soil_Detailed!J10</f>
        <v>1.4922812561593075</v>
      </c>
    </row>
    <row r="134" spans="1:10" x14ac:dyDescent="0.25">
      <c r="A134" s="100" t="s">
        <v>380</v>
      </c>
      <c r="B134" s="108" t="str">
        <f>Soil_Detailed!B11</f>
        <v>N_I_4_D3</v>
      </c>
      <c r="C134" s="101" t="str">
        <f>Soil_Detailed!C11</f>
        <v>N</v>
      </c>
      <c r="D134" s="101" t="str">
        <f>Soil_Detailed!D11</f>
        <v>I</v>
      </c>
      <c r="E134" s="101">
        <f>Soil_Detailed!E11</f>
        <v>4</v>
      </c>
      <c r="F134" s="101" t="str">
        <f>Soil_Detailed!F11</f>
        <v>D3</v>
      </c>
      <c r="G134" s="98">
        <f>Soil_Detailed!J11</f>
        <v>0.78622876573564759</v>
      </c>
    </row>
    <row r="135" spans="1:10" x14ac:dyDescent="0.25">
      <c r="A135" s="100" t="s">
        <v>380</v>
      </c>
      <c r="B135" s="108" t="str">
        <f>Soil_Detailed!B12</f>
        <v>N_I_5_D3</v>
      </c>
      <c r="C135" s="101" t="str">
        <f>Soil_Detailed!C12</f>
        <v>N</v>
      </c>
      <c r="D135" s="101" t="str">
        <f>Soil_Detailed!D12</f>
        <v>I</v>
      </c>
      <c r="E135" s="101">
        <f>Soil_Detailed!E12</f>
        <v>5</v>
      </c>
      <c r="F135" s="101" t="str">
        <f>Soil_Detailed!F12</f>
        <v>D3</v>
      </c>
      <c r="G135" s="98">
        <f>Soil_Detailed!J12</f>
        <v>0.15861367813309599</v>
      </c>
    </row>
    <row r="136" spans="1:10" x14ac:dyDescent="0.25">
      <c r="A136" s="100" t="s">
        <v>380</v>
      </c>
      <c r="B136" s="108" t="str">
        <f>Soil_Detailed!B13</f>
        <v>N_I_7_D3</v>
      </c>
      <c r="C136" s="101" t="str">
        <f>Soil_Detailed!C13</f>
        <v>N</v>
      </c>
      <c r="D136" s="101" t="str">
        <f>Soil_Detailed!D13</f>
        <v>I</v>
      </c>
      <c r="E136" s="101">
        <f>Soil_Detailed!E13</f>
        <v>7</v>
      </c>
      <c r="F136" s="101" t="str">
        <f>Soil_Detailed!F13</f>
        <v>D3</v>
      </c>
      <c r="G136" s="98">
        <f>Soil_Detailed!J13</f>
        <v>2.5117073539644878E-2</v>
      </c>
    </row>
    <row r="137" spans="1:10" x14ac:dyDescent="0.25">
      <c r="A137" s="100" t="s">
        <v>380</v>
      </c>
      <c r="B137" s="108" t="str">
        <f>Soil_Detailed!B14</f>
        <v>N_I_8_D3</v>
      </c>
      <c r="C137" s="101" t="str">
        <f>Soil_Detailed!C14</f>
        <v>N</v>
      </c>
      <c r="D137" s="101" t="str">
        <f>Soil_Detailed!D14</f>
        <v>I</v>
      </c>
      <c r="E137" s="101">
        <f>Soil_Detailed!E14</f>
        <v>8</v>
      </c>
      <c r="F137" s="101" t="str">
        <f>Soil_Detailed!F14</f>
        <v>D3</v>
      </c>
      <c r="G137" s="98">
        <f>Soil_Detailed!J14</f>
        <v>1.9431834569943376E-2</v>
      </c>
    </row>
    <row r="138" spans="1:10" x14ac:dyDescent="0.25">
      <c r="A138" s="100" t="s">
        <v>380</v>
      </c>
      <c r="B138" s="108" t="str">
        <f>Soil_Detailed!B15</f>
        <v>N_II_3_D3</v>
      </c>
      <c r="C138" s="101" t="str">
        <f>Soil_Detailed!C15</f>
        <v>N</v>
      </c>
      <c r="D138" s="101" t="str">
        <f>Soil_Detailed!D15</f>
        <v>II</v>
      </c>
      <c r="E138" s="101">
        <f>Soil_Detailed!E15</f>
        <v>3</v>
      </c>
      <c r="F138" s="101" t="str">
        <f>Soil_Detailed!F15</f>
        <v>D3</v>
      </c>
      <c r="G138" s="98">
        <f>Soil_Detailed!J15</f>
        <v>7.190954386025683E-2</v>
      </c>
    </row>
    <row r="139" spans="1:10" x14ac:dyDescent="0.25">
      <c r="A139" s="100" t="s">
        <v>380</v>
      </c>
      <c r="B139" s="108" t="str">
        <f>Soil_Detailed!B16</f>
        <v>N_II_4_D3</v>
      </c>
      <c r="C139" s="101" t="str">
        <f>Soil_Detailed!C16</f>
        <v>N</v>
      </c>
      <c r="D139" s="101" t="str">
        <f>Soil_Detailed!D16</f>
        <v>II</v>
      </c>
      <c r="E139" s="101">
        <f>Soil_Detailed!E16</f>
        <v>4</v>
      </c>
      <c r="F139" s="101" t="str">
        <f>Soil_Detailed!F16</f>
        <v>D3</v>
      </c>
      <c r="G139" s="98">
        <f>Soil_Detailed!J16</f>
        <v>19.655741110168037</v>
      </c>
    </row>
    <row r="140" spans="1:10" x14ac:dyDescent="0.25">
      <c r="A140" s="100" t="s">
        <v>380</v>
      </c>
      <c r="B140" s="108" t="str">
        <f>Soil_Detailed!B17</f>
        <v>N_II_5_D3</v>
      </c>
      <c r="C140" s="101" t="str">
        <f>Soil_Detailed!C17</f>
        <v>N</v>
      </c>
      <c r="D140" s="101" t="str">
        <f>Soil_Detailed!D17</f>
        <v>II</v>
      </c>
      <c r="E140" s="101">
        <f>Soil_Detailed!E17</f>
        <v>5</v>
      </c>
      <c r="F140" s="101" t="str">
        <f>Soil_Detailed!F17</f>
        <v>D3</v>
      </c>
      <c r="G140" s="98">
        <f>Soil_Detailed!J17</f>
        <v>3.9049584058374366E-2</v>
      </c>
    </row>
    <row r="141" spans="1:10" x14ac:dyDescent="0.25">
      <c r="A141" s="100" t="s">
        <v>380</v>
      </c>
      <c r="B141" s="108" t="str">
        <f>Soil_Detailed!B18</f>
        <v>N_II_7_D3</v>
      </c>
      <c r="C141" s="101" t="str">
        <f>Soil_Detailed!C18</f>
        <v>N</v>
      </c>
      <c r="D141" s="101" t="str">
        <f>Soil_Detailed!D18</f>
        <v>II</v>
      </c>
      <c r="E141" s="101">
        <f>Soil_Detailed!E18</f>
        <v>7</v>
      </c>
      <c r="F141" s="101" t="str">
        <f>Soil_Detailed!F18</f>
        <v>D3</v>
      </c>
      <c r="G141" s="98">
        <f>Soil_Detailed!J18</f>
        <v>10.474257265451554</v>
      </c>
    </row>
    <row r="142" spans="1:10" x14ac:dyDescent="0.25">
      <c r="A142" s="100" t="s">
        <v>380</v>
      </c>
      <c r="B142" s="108" t="str">
        <f>Soil_Detailed!B19</f>
        <v>N_II_8_D3</v>
      </c>
      <c r="C142" s="101" t="str">
        <f>Soil_Detailed!C19</f>
        <v>N</v>
      </c>
      <c r="D142" s="101" t="str">
        <f>Soil_Detailed!D19</f>
        <v>II</v>
      </c>
      <c r="E142" s="101">
        <f>Soil_Detailed!E19</f>
        <v>8</v>
      </c>
      <c r="F142" s="101" t="str">
        <f>Soil_Detailed!F19</f>
        <v>D3</v>
      </c>
      <c r="G142" s="98">
        <f>Soil_Detailed!J19</f>
        <v>26.436545198895246</v>
      </c>
    </row>
    <row r="143" spans="1:10" x14ac:dyDescent="0.25">
      <c r="A143" s="100" t="s">
        <v>380</v>
      </c>
      <c r="B143" s="108" t="str">
        <f>Soil_Detailed!B20</f>
        <v>N_III_2_D3</v>
      </c>
      <c r="C143" s="101" t="str">
        <f>Soil_Detailed!C20</f>
        <v>N</v>
      </c>
      <c r="D143" s="101" t="str">
        <f>Soil_Detailed!D20</f>
        <v>III</v>
      </c>
      <c r="E143" s="101">
        <f>Soil_Detailed!E20</f>
        <v>2</v>
      </c>
      <c r="F143" s="101" t="str">
        <f>Soil_Detailed!F20</f>
        <v>D3</v>
      </c>
      <c r="G143" s="98">
        <f>Soil_Detailed!J20</f>
        <v>4.7818267109340464</v>
      </c>
    </row>
    <row r="144" spans="1:10" x14ac:dyDescent="0.25">
      <c r="A144" s="100" t="s">
        <v>380</v>
      </c>
      <c r="B144" s="108" t="str">
        <f>Soil_Detailed!B21</f>
        <v>N_III_3_D3</v>
      </c>
      <c r="C144" s="101" t="str">
        <f>Soil_Detailed!C21</f>
        <v>N</v>
      </c>
      <c r="D144" s="101" t="str">
        <f>Soil_Detailed!D21</f>
        <v>III</v>
      </c>
      <c r="E144" s="101" t="str">
        <f>Soil_Detailed!E21</f>
        <v>3</v>
      </c>
      <c r="F144" s="101" t="str">
        <f>Soil_Detailed!F21</f>
        <v>D3</v>
      </c>
      <c r="G144" s="98">
        <f>Soil_Detailed!J21</f>
        <v>0</v>
      </c>
    </row>
    <row r="145" spans="1:7" x14ac:dyDescent="0.25">
      <c r="A145" s="100" t="s">
        <v>380</v>
      </c>
      <c r="B145" s="108" t="str">
        <f>Soil_Detailed!B22</f>
        <v>N_III_4_D3</v>
      </c>
      <c r="C145" s="101" t="str">
        <f>Soil_Detailed!C22</f>
        <v>N</v>
      </c>
      <c r="D145" s="101" t="str">
        <f>Soil_Detailed!D22</f>
        <v>III</v>
      </c>
      <c r="E145" s="101" t="str">
        <f>Soil_Detailed!E22</f>
        <v>4</v>
      </c>
      <c r="F145" s="101" t="str">
        <f>Soil_Detailed!F22</f>
        <v>D3</v>
      </c>
      <c r="G145" s="98">
        <f>Soil_Detailed!J22</f>
        <v>0</v>
      </c>
    </row>
    <row r="146" spans="1:7" x14ac:dyDescent="0.25">
      <c r="A146" s="100" t="s">
        <v>380</v>
      </c>
      <c r="B146" s="108" t="str">
        <f>Soil_Detailed!B23</f>
        <v>N_III_5_D3</v>
      </c>
      <c r="C146" s="101" t="str">
        <f>Soil_Detailed!C23</f>
        <v>N</v>
      </c>
      <c r="D146" s="101" t="str">
        <f>Soil_Detailed!D23</f>
        <v>III</v>
      </c>
      <c r="E146" s="101" t="str">
        <f>Soil_Detailed!E23</f>
        <v>5</v>
      </c>
      <c r="F146" s="101" t="str">
        <f>Soil_Detailed!F23</f>
        <v>D3</v>
      </c>
      <c r="G146" s="98">
        <f>Soil_Detailed!J23</f>
        <v>0</v>
      </c>
    </row>
    <row r="147" spans="1:7" x14ac:dyDescent="0.25">
      <c r="A147" s="100" t="s">
        <v>380</v>
      </c>
      <c r="B147" s="108" t="str">
        <f>Soil_Detailed!B24</f>
        <v>N_III_7_D3</v>
      </c>
      <c r="C147" s="101" t="str">
        <f>Soil_Detailed!C24</f>
        <v>N</v>
      </c>
      <c r="D147" s="101" t="str">
        <f>Soil_Detailed!D24</f>
        <v>III</v>
      </c>
      <c r="E147" s="101">
        <f>Soil_Detailed!E24</f>
        <v>7</v>
      </c>
      <c r="F147" s="101" t="str">
        <f>Soil_Detailed!F24</f>
        <v>D3</v>
      </c>
      <c r="G147" s="98">
        <f>Soil_Detailed!J24</f>
        <v>1.8939970045595726</v>
      </c>
    </row>
    <row r="148" spans="1:7" x14ac:dyDescent="0.25">
      <c r="A148" s="100" t="s">
        <v>380</v>
      </c>
      <c r="B148" s="108" t="str">
        <f>Soil_Detailed!B25</f>
        <v>N_III_8_D3</v>
      </c>
      <c r="C148" s="101" t="str">
        <f>Soil_Detailed!C25</f>
        <v>N</v>
      </c>
      <c r="D148" s="101" t="str">
        <f>Soil_Detailed!D25</f>
        <v>III</v>
      </c>
      <c r="E148" s="101">
        <f>Soil_Detailed!E25</f>
        <v>8</v>
      </c>
      <c r="F148" s="101" t="str">
        <f>Soil_Detailed!F25</f>
        <v>D3</v>
      </c>
      <c r="G148" s="98">
        <f>Soil_Detailed!J25</f>
        <v>1.6133322294475281</v>
      </c>
    </row>
    <row r="149" spans="1:7" x14ac:dyDescent="0.25">
      <c r="A149" s="100" t="s">
        <v>380</v>
      </c>
      <c r="B149" s="108" t="str">
        <f>Soil_Detailed!B26</f>
        <v>N_IV_1_D3</v>
      </c>
      <c r="C149" s="101" t="str">
        <f>Soil_Detailed!C26</f>
        <v>N</v>
      </c>
      <c r="D149" s="101" t="str">
        <f>Soil_Detailed!D26</f>
        <v>IV</v>
      </c>
      <c r="E149" s="101">
        <f>Soil_Detailed!E26</f>
        <v>1</v>
      </c>
      <c r="F149" s="101" t="str">
        <f>Soil_Detailed!F26</f>
        <v>D3</v>
      </c>
      <c r="G149" s="98">
        <f>Soil_Detailed!J26</f>
        <v>4.2894488034199671</v>
      </c>
    </row>
    <row r="150" spans="1:7" x14ac:dyDescent="0.25">
      <c r="A150" s="100" t="s">
        <v>380</v>
      </c>
      <c r="B150" s="108" t="str">
        <f>Soil_Detailed!B27</f>
        <v>N_IV_2_D3</v>
      </c>
      <c r="C150" s="101" t="str">
        <f>Soil_Detailed!C27</f>
        <v>N</v>
      </c>
      <c r="D150" s="101" t="str">
        <f>Soil_Detailed!D27</f>
        <v>IV</v>
      </c>
      <c r="E150" s="101">
        <f>Soil_Detailed!E27</f>
        <v>2</v>
      </c>
      <c r="F150" s="101" t="str">
        <f>Soil_Detailed!F27</f>
        <v>D3</v>
      </c>
      <c r="G150" s="98">
        <f>Soil_Detailed!J27</f>
        <v>0.77623265084666182</v>
      </c>
    </row>
    <row r="151" spans="1:7" x14ac:dyDescent="0.25">
      <c r="A151" s="100" t="s">
        <v>380</v>
      </c>
      <c r="B151" s="108" t="str">
        <f>Soil_Detailed!B28</f>
        <v>N_IV_3_D3</v>
      </c>
      <c r="C151" s="101" t="str">
        <f>Soil_Detailed!C28</f>
        <v>N</v>
      </c>
      <c r="D151" s="101" t="str">
        <f>Soil_Detailed!D28</f>
        <v>IV</v>
      </c>
      <c r="E151" s="101">
        <f>Soil_Detailed!E28</f>
        <v>3</v>
      </c>
      <c r="F151" s="101" t="str">
        <f>Soil_Detailed!F28</f>
        <v>D3</v>
      </c>
      <c r="G151" s="98">
        <f>Soil_Detailed!J28</f>
        <v>5.7082362152060154E-2</v>
      </c>
    </row>
    <row r="152" spans="1:7" x14ac:dyDescent="0.25">
      <c r="A152" s="100" t="s">
        <v>380</v>
      </c>
      <c r="B152" s="108" t="str">
        <f>Soil_Detailed!B29</f>
        <v>N_IV_4_D3</v>
      </c>
      <c r="C152" s="101" t="str">
        <f>Soil_Detailed!C29</f>
        <v>N</v>
      </c>
      <c r="D152" s="101" t="str">
        <f>Soil_Detailed!D29</f>
        <v>IV</v>
      </c>
      <c r="E152" s="101">
        <f>Soil_Detailed!E29</f>
        <v>4</v>
      </c>
      <c r="F152" s="101" t="str">
        <f>Soil_Detailed!F29</f>
        <v>D3</v>
      </c>
      <c r="G152" s="98">
        <f>Soil_Detailed!J29</f>
        <v>0.54515253090398719</v>
      </c>
    </row>
    <row r="153" spans="1:7" x14ac:dyDescent="0.25">
      <c r="A153" s="100" t="s">
        <v>380</v>
      </c>
      <c r="B153" s="108" t="str">
        <f>Soil_Detailed!B30</f>
        <v>N_IV_5_D3</v>
      </c>
      <c r="C153" s="101" t="str">
        <f>Soil_Detailed!C30</f>
        <v>N</v>
      </c>
      <c r="D153" s="101" t="str">
        <f>Soil_Detailed!D30</f>
        <v>IV</v>
      </c>
      <c r="E153" s="101">
        <f>Soil_Detailed!E30</f>
        <v>5</v>
      </c>
      <c r="F153" s="101" t="str">
        <f>Soil_Detailed!F30</f>
        <v>D3</v>
      </c>
      <c r="G153" s="98">
        <f>Soil_Detailed!J30</f>
        <v>4.5620655839786167E-2</v>
      </c>
    </row>
    <row r="154" spans="1:7" x14ac:dyDescent="0.25">
      <c r="A154" s="100" t="s">
        <v>380</v>
      </c>
      <c r="B154" s="108" t="str">
        <f>Soil_Detailed!B31</f>
        <v>N_IV_7_D3</v>
      </c>
      <c r="C154" s="101" t="str">
        <f>Soil_Detailed!C31</f>
        <v>N</v>
      </c>
      <c r="D154" s="101" t="str">
        <f>Soil_Detailed!D31</f>
        <v>IV</v>
      </c>
      <c r="E154" s="101" t="str">
        <f>Soil_Detailed!E31</f>
        <v>7</v>
      </c>
      <c r="F154" s="101" t="str">
        <f>Soil_Detailed!F31</f>
        <v>D3</v>
      </c>
      <c r="G154" s="98">
        <f>Soil_Detailed!J31</f>
        <v>0</v>
      </c>
    </row>
    <row r="155" spans="1:7" x14ac:dyDescent="0.25">
      <c r="A155" s="100" t="s">
        <v>380</v>
      </c>
      <c r="B155" s="108" t="str">
        <f>Soil_Detailed!B32</f>
        <v>N_IV_8_D3</v>
      </c>
      <c r="C155" s="101" t="str">
        <f>Soil_Detailed!C32</f>
        <v>N</v>
      </c>
      <c r="D155" s="101" t="str">
        <f>Soil_Detailed!D32</f>
        <v>IV</v>
      </c>
      <c r="E155" s="101">
        <f>Soil_Detailed!E32</f>
        <v>8</v>
      </c>
      <c r="F155" s="101" t="str">
        <f>Soil_Detailed!F32</f>
        <v>D3</v>
      </c>
      <c r="G155" s="98">
        <f>Soil_Detailed!J32</f>
        <v>0.3170811542959478</v>
      </c>
    </row>
    <row r="156" spans="1:7" x14ac:dyDescent="0.25">
      <c r="A156" s="100" t="s">
        <v>380</v>
      </c>
      <c r="B156" s="108" t="str">
        <f>Soil_Detailed!B33</f>
        <v>T_I_4_D3</v>
      </c>
      <c r="C156" s="101" t="str">
        <f>Soil_Detailed!C33</f>
        <v>T</v>
      </c>
      <c r="D156" s="101" t="str">
        <f>Soil_Detailed!D33</f>
        <v>I</v>
      </c>
      <c r="E156" s="101">
        <f>Soil_Detailed!E33</f>
        <v>4</v>
      </c>
      <c r="F156" s="101" t="str">
        <f>Soil_Detailed!F33</f>
        <v>D3</v>
      </c>
      <c r="G156" s="98">
        <f>Soil_Detailed!J33</f>
        <v>2.4654299522121902E-2</v>
      </c>
    </row>
    <row r="157" spans="1:7" x14ac:dyDescent="0.25">
      <c r="A157" s="100" t="s">
        <v>380</v>
      </c>
      <c r="B157" s="108" t="str">
        <f>Soil_Detailed!B34</f>
        <v>T_I_5_D3</v>
      </c>
      <c r="C157" s="101" t="str">
        <f>Soil_Detailed!C34</f>
        <v>T</v>
      </c>
      <c r="D157" s="101" t="str">
        <f>Soil_Detailed!D34</f>
        <v>I</v>
      </c>
      <c r="E157" s="101">
        <f>Soil_Detailed!E34</f>
        <v>5</v>
      </c>
      <c r="F157" s="101" t="str">
        <f>Soil_Detailed!F34</f>
        <v>D3</v>
      </c>
      <c r="G157" s="98">
        <f>Soil_Detailed!J34</f>
        <v>0.14494456847663487</v>
      </c>
    </row>
    <row r="158" spans="1:7" x14ac:dyDescent="0.25">
      <c r="A158" s="100" t="s">
        <v>380</v>
      </c>
      <c r="B158" s="108" t="str">
        <f>Soil_Detailed!B35</f>
        <v>T_I_7_D3</v>
      </c>
      <c r="C158" s="101" t="str">
        <f>Soil_Detailed!C35</f>
        <v>T</v>
      </c>
      <c r="D158" s="101" t="str">
        <f>Soil_Detailed!D35</f>
        <v>I</v>
      </c>
      <c r="E158" s="101">
        <f>Soil_Detailed!E35</f>
        <v>7</v>
      </c>
      <c r="F158" s="101" t="str">
        <f>Soil_Detailed!F35</f>
        <v>D3</v>
      </c>
      <c r="G158" s="98">
        <f>Soil_Detailed!J35</f>
        <v>4.629190091554726E-2</v>
      </c>
    </row>
    <row r="159" spans="1:7" x14ac:dyDescent="0.25">
      <c r="A159" s="100" t="s">
        <v>380</v>
      </c>
      <c r="B159" s="108" t="str">
        <f>Soil_Detailed!B36</f>
        <v>T_I_8_D3</v>
      </c>
      <c r="C159" s="101" t="str">
        <f>Soil_Detailed!C36</f>
        <v>T</v>
      </c>
      <c r="D159" s="101" t="str">
        <f>Soil_Detailed!D36</f>
        <v>I</v>
      </c>
      <c r="E159" s="101">
        <f>Soil_Detailed!E36</f>
        <v>8</v>
      </c>
      <c r="F159" s="101" t="str">
        <f>Soil_Detailed!F36</f>
        <v>D3</v>
      </c>
      <c r="G159" s="98">
        <f>Soil_Detailed!J36</f>
        <v>5.3678804929856064E-2</v>
      </c>
    </row>
    <row r="160" spans="1:7" x14ac:dyDescent="0.25">
      <c r="A160" s="100" t="s">
        <v>380</v>
      </c>
      <c r="B160" s="108" t="str">
        <f>Soil_Detailed!B37</f>
        <v>T_I_9_D3</v>
      </c>
      <c r="C160" s="101" t="str">
        <f>Soil_Detailed!C37</f>
        <v>T</v>
      </c>
      <c r="D160" s="101" t="str">
        <f>Soil_Detailed!D37</f>
        <v>I</v>
      </c>
      <c r="E160" s="101">
        <f>Soil_Detailed!E37</f>
        <v>9</v>
      </c>
      <c r="F160" s="101" t="str">
        <f>Soil_Detailed!F37</f>
        <v>D3</v>
      </c>
      <c r="G160" s="98">
        <f>Soil_Detailed!J37</f>
        <v>5.2875589260151497</v>
      </c>
    </row>
    <row r="161" spans="1:7" x14ac:dyDescent="0.25">
      <c r="A161" s="100" t="s">
        <v>380</v>
      </c>
      <c r="B161" s="108" t="str">
        <f>Soil_Detailed!B38</f>
        <v>T_I_10_D3</v>
      </c>
      <c r="C161" s="101" t="str">
        <f>Soil_Detailed!C38</f>
        <v>T</v>
      </c>
      <c r="D161" s="101" t="str">
        <f>Soil_Detailed!D38</f>
        <v>I</v>
      </c>
      <c r="E161" s="101">
        <f>Soil_Detailed!E38</f>
        <v>10</v>
      </c>
      <c r="F161" s="101" t="str">
        <f>Soil_Detailed!F38</f>
        <v>D3</v>
      </c>
      <c r="G161" s="98">
        <f>Soil_Detailed!J38</f>
        <v>4.8247509176049606E-2</v>
      </c>
    </row>
    <row r="162" spans="1:7" x14ac:dyDescent="0.25">
      <c r="A162" s="100" t="s">
        <v>380</v>
      </c>
      <c r="B162" s="108" t="str">
        <f>Soil_Detailed!B39</f>
        <v>T_II_4_D3</v>
      </c>
      <c r="C162" s="101" t="str">
        <f>Soil_Detailed!C39</f>
        <v>T</v>
      </c>
      <c r="D162" s="101" t="str">
        <f>Soil_Detailed!D39</f>
        <v>II</v>
      </c>
      <c r="E162" s="101">
        <f>Soil_Detailed!E39</f>
        <v>4</v>
      </c>
      <c r="F162" s="101" t="str">
        <f>Soil_Detailed!F39</f>
        <v>D3</v>
      </c>
      <c r="G162" s="98">
        <f>Soil_Detailed!J39</f>
        <v>12.689352984206868</v>
      </c>
    </row>
    <row r="163" spans="1:7" x14ac:dyDescent="0.25">
      <c r="A163" s="100" t="s">
        <v>380</v>
      </c>
      <c r="B163" s="108" t="str">
        <f>Soil_Detailed!B40</f>
        <v>T_II_5_D3</v>
      </c>
      <c r="C163" s="101" t="str">
        <f>Soil_Detailed!C40</f>
        <v>T</v>
      </c>
      <c r="D163" s="101" t="str">
        <f>Soil_Detailed!D40</f>
        <v>II</v>
      </c>
      <c r="E163" s="101">
        <f>Soil_Detailed!E40</f>
        <v>5</v>
      </c>
      <c r="F163" s="101" t="str">
        <f>Soil_Detailed!F40</f>
        <v>D3</v>
      </c>
      <c r="G163" s="98">
        <f>Soil_Detailed!J40</f>
        <v>4.6159807299304488E-2</v>
      </c>
    </row>
    <row r="164" spans="1:7" x14ac:dyDescent="0.25">
      <c r="A164" s="100" t="s">
        <v>380</v>
      </c>
      <c r="B164" s="108" t="str">
        <f>Soil_Detailed!B41</f>
        <v>T_II_7_D3</v>
      </c>
      <c r="C164" s="101" t="str">
        <f>Soil_Detailed!C41</f>
        <v>T</v>
      </c>
      <c r="D164" s="101" t="str">
        <f>Soil_Detailed!D41</f>
        <v>II</v>
      </c>
      <c r="E164" s="101">
        <f>Soil_Detailed!E41</f>
        <v>7</v>
      </c>
      <c r="F164" s="101" t="str">
        <f>Soil_Detailed!F41</f>
        <v>D3</v>
      </c>
      <c r="G164" s="98">
        <f>Soil_Detailed!J41</f>
        <v>8.954796287550792</v>
      </c>
    </row>
    <row r="165" spans="1:7" x14ac:dyDescent="0.25">
      <c r="A165" s="100" t="s">
        <v>380</v>
      </c>
      <c r="B165" s="108" t="str">
        <f>Soil_Detailed!B42</f>
        <v>T_II_8_D3</v>
      </c>
      <c r="C165" s="101" t="str">
        <f>Soil_Detailed!C42</f>
        <v>T</v>
      </c>
      <c r="D165" s="101" t="str">
        <f>Soil_Detailed!D42</f>
        <v>II</v>
      </c>
      <c r="E165" s="101">
        <f>Soil_Detailed!E42</f>
        <v>8</v>
      </c>
      <c r="F165" s="101" t="str">
        <f>Soil_Detailed!F42</f>
        <v>D3</v>
      </c>
      <c r="G165" s="98">
        <f>Soil_Detailed!J42</f>
        <v>9.554011391778074</v>
      </c>
    </row>
    <row r="166" spans="1:7" x14ac:dyDescent="0.25">
      <c r="A166" s="100" t="s">
        <v>380</v>
      </c>
      <c r="B166" s="108" t="str">
        <f>Soil_Detailed!B43</f>
        <v>T_X_9_D3</v>
      </c>
      <c r="C166" s="101" t="str">
        <f>Soil_Detailed!C43</f>
        <v>T</v>
      </c>
      <c r="D166" s="101" t="str">
        <f>Soil_Detailed!D43</f>
        <v>X</v>
      </c>
      <c r="E166" s="101">
        <f>Soil_Detailed!E43</f>
        <v>9</v>
      </c>
      <c r="F166" s="101" t="str">
        <f>Soil_Detailed!F43</f>
        <v>D3</v>
      </c>
      <c r="G166" s="98">
        <f>Soil_Detailed!J43</f>
        <v>0.84053259551128967</v>
      </c>
    </row>
    <row r="167" spans="1:7" x14ac:dyDescent="0.25">
      <c r="A167" s="100" t="s">
        <v>380</v>
      </c>
      <c r="B167" s="108" t="str">
        <f>Soil_Detailed!B44</f>
        <v>T_X_10_D3</v>
      </c>
      <c r="C167" s="101" t="str">
        <f>Soil_Detailed!C44</f>
        <v>T</v>
      </c>
      <c r="D167" s="101" t="str">
        <f>Soil_Detailed!D44</f>
        <v>X</v>
      </c>
      <c r="E167" s="101">
        <f>Soil_Detailed!E44</f>
        <v>10</v>
      </c>
      <c r="F167" s="101" t="str">
        <f>Soil_Detailed!F44</f>
        <v>D3</v>
      </c>
      <c r="G167" s="98">
        <f>Soil_Detailed!J44</f>
        <v>1.4933140563512084</v>
      </c>
    </row>
    <row r="168" spans="1:7" x14ac:dyDescent="0.25">
      <c r="A168" s="100" t="s">
        <v>380</v>
      </c>
      <c r="B168" s="108" t="str">
        <f>Soil_Detailed!B45</f>
        <v>T_III_4_D3</v>
      </c>
      <c r="C168" s="101" t="str">
        <f>Soil_Detailed!C45</f>
        <v>T</v>
      </c>
      <c r="D168" s="101" t="str">
        <f>Soil_Detailed!D45</f>
        <v>III</v>
      </c>
      <c r="E168" s="101">
        <f>Soil_Detailed!E45</f>
        <v>4</v>
      </c>
      <c r="F168" s="101" t="str">
        <f>Soil_Detailed!F45</f>
        <v>D3</v>
      </c>
      <c r="G168" s="98">
        <f>Soil_Detailed!J45</f>
        <v>2.1830899392775001</v>
      </c>
    </row>
    <row r="169" spans="1:7" x14ac:dyDescent="0.25">
      <c r="A169" s="100" t="s">
        <v>380</v>
      </c>
      <c r="B169" s="108" t="str">
        <f>Soil_Detailed!B46</f>
        <v>T_III_5_D3</v>
      </c>
      <c r="C169" s="101" t="str">
        <f>Soil_Detailed!C46</f>
        <v>T</v>
      </c>
      <c r="D169" s="101" t="str">
        <f>Soil_Detailed!D46</f>
        <v>III</v>
      </c>
      <c r="E169" s="101">
        <f>Soil_Detailed!E46</f>
        <v>5</v>
      </c>
      <c r="F169" s="101" t="str">
        <f>Soil_Detailed!F46</f>
        <v>D3</v>
      </c>
      <c r="G169" s="98">
        <f>Soil_Detailed!J46</f>
        <v>0.1183754701228288</v>
      </c>
    </row>
    <row r="170" spans="1:7" x14ac:dyDescent="0.25">
      <c r="A170" s="100" t="s">
        <v>380</v>
      </c>
      <c r="B170" s="108" t="str">
        <f>Soil_Detailed!B47</f>
        <v>T_III_7_D3</v>
      </c>
      <c r="C170" s="101" t="str">
        <f>Soil_Detailed!C47</f>
        <v>T</v>
      </c>
      <c r="D170" s="101" t="str">
        <f>Soil_Detailed!D47</f>
        <v>III</v>
      </c>
      <c r="E170" s="101">
        <f>Soil_Detailed!E47</f>
        <v>7</v>
      </c>
      <c r="F170" s="101" t="str">
        <f>Soil_Detailed!F47</f>
        <v>D3</v>
      </c>
      <c r="G170" s="98">
        <f>Soil_Detailed!J47</f>
        <v>3.322353482444742</v>
      </c>
    </row>
    <row r="171" spans="1:7" x14ac:dyDescent="0.25">
      <c r="A171" s="100" t="s">
        <v>380</v>
      </c>
      <c r="B171" s="108" t="str">
        <f>Soil_Detailed!B48</f>
        <v>T_III_8_D3</v>
      </c>
      <c r="C171" s="101" t="str">
        <f>Soil_Detailed!C48</f>
        <v>T</v>
      </c>
      <c r="D171" s="101" t="str">
        <f>Soil_Detailed!D48</f>
        <v>III</v>
      </c>
      <c r="E171" s="101">
        <f>Soil_Detailed!E48</f>
        <v>8</v>
      </c>
      <c r="F171" s="101" t="str">
        <f>Soil_Detailed!F48</f>
        <v>D3</v>
      </c>
      <c r="G171" s="98">
        <f>Soil_Detailed!J48</f>
        <v>1.3002573526295005</v>
      </c>
    </row>
    <row r="172" spans="1:7" x14ac:dyDescent="0.25">
      <c r="A172" s="100" t="s">
        <v>380</v>
      </c>
      <c r="B172" s="108" t="str">
        <f>Soil_Detailed!B49</f>
        <v>T_III_9_D3</v>
      </c>
      <c r="C172" s="101" t="str">
        <f>Soil_Detailed!C49</f>
        <v>T</v>
      </c>
      <c r="D172" s="101" t="str">
        <f>Soil_Detailed!D49</f>
        <v>III</v>
      </c>
      <c r="E172" s="101">
        <f>Soil_Detailed!E49</f>
        <v>9</v>
      </c>
      <c r="F172" s="101" t="str">
        <f>Soil_Detailed!F49</f>
        <v>D3</v>
      </c>
      <c r="G172" s="98">
        <f>Soil_Detailed!J49</f>
        <v>4.2858997389635967</v>
      </c>
    </row>
    <row r="173" spans="1:7" x14ac:dyDescent="0.25">
      <c r="A173" s="100" t="s">
        <v>380</v>
      </c>
      <c r="B173" s="108" t="str">
        <f>Soil_Detailed!B50</f>
        <v>T_IV_4_D3</v>
      </c>
      <c r="C173" s="101" t="str">
        <f>Soil_Detailed!C50</f>
        <v>T</v>
      </c>
      <c r="D173" s="101" t="str">
        <f>Soil_Detailed!D50</f>
        <v>IV</v>
      </c>
      <c r="E173" s="101">
        <f>Soil_Detailed!E50</f>
        <v>4</v>
      </c>
      <c r="F173" s="101" t="str">
        <f>Soil_Detailed!F50</f>
        <v>D3</v>
      </c>
      <c r="G173" s="98">
        <f>Soil_Detailed!J50</f>
        <v>0.48011716983617958</v>
      </c>
    </row>
    <row r="174" spans="1:7" x14ac:dyDescent="0.25">
      <c r="A174" s="100" t="s">
        <v>380</v>
      </c>
      <c r="B174" s="108" t="str">
        <f>Soil_Detailed!B51</f>
        <v>T_IV_5_D3</v>
      </c>
      <c r="C174" s="101" t="str">
        <f>Soil_Detailed!C51</f>
        <v>T</v>
      </c>
      <c r="D174" s="101" t="str">
        <f>Soil_Detailed!D51</f>
        <v>IV</v>
      </c>
      <c r="E174" s="101">
        <f>Soil_Detailed!E51</f>
        <v>5</v>
      </c>
      <c r="F174" s="101" t="str">
        <f>Soil_Detailed!F51</f>
        <v>D3</v>
      </c>
      <c r="G174" s="98">
        <f>Soil_Detailed!J51</f>
        <v>2.6046350498386876E-2</v>
      </c>
    </row>
    <row r="175" spans="1:7" x14ac:dyDescent="0.25">
      <c r="A175" s="100" t="s">
        <v>380</v>
      </c>
      <c r="B175" s="108" t="str">
        <f>Soil_Detailed!B52</f>
        <v>T_IV_7_D3</v>
      </c>
      <c r="C175" s="101" t="str">
        <f>Soil_Detailed!C52</f>
        <v>T</v>
      </c>
      <c r="D175" s="101" t="str">
        <f>Soil_Detailed!D52</f>
        <v>IV</v>
      </c>
      <c r="E175" s="101">
        <f>Soil_Detailed!E52</f>
        <v>7</v>
      </c>
      <c r="F175" s="101" t="str">
        <f>Soil_Detailed!F52</f>
        <v>D3</v>
      </c>
      <c r="G175" s="98">
        <f>Soil_Detailed!J52</f>
        <v>0.54545091017240221</v>
      </c>
    </row>
    <row r="176" spans="1:7" x14ac:dyDescent="0.25">
      <c r="A176" s="100" t="s">
        <v>380</v>
      </c>
      <c r="B176" s="108" t="str">
        <f>Soil_Detailed!B53</f>
        <v>T_IV_8_D3</v>
      </c>
      <c r="C176" s="101" t="str">
        <f>Soil_Detailed!C53</f>
        <v>T</v>
      </c>
      <c r="D176" s="101" t="str">
        <f>Soil_Detailed!D53</f>
        <v>IV</v>
      </c>
      <c r="E176" s="101">
        <f>Soil_Detailed!E53</f>
        <v>8</v>
      </c>
      <c r="F176" s="101" t="str">
        <f>Soil_Detailed!F53</f>
        <v>D3</v>
      </c>
      <c r="G176" s="98">
        <f>Soil_Detailed!J53</f>
        <v>0.6248086058480572</v>
      </c>
    </row>
    <row r="177" spans="1:7" x14ac:dyDescent="0.25">
      <c r="A177" s="100" t="s">
        <v>380</v>
      </c>
      <c r="B177" s="108" t="str">
        <f>Soil_Detailed!B54</f>
        <v>T_IV_9_D3</v>
      </c>
      <c r="C177" s="101" t="str">
        <f>Soil_Detailed!C54</f>
        <v>T</v>
      </c>
      <c r="D177" s="101" t="str">
        <f>Soil_Detailed!D54</f>
        <v>IV</v>
      </c>
      <c r="E177" s="101">
        <f>Soil_Detailed!E54</f>
        <v>9</v>
      </c>
      <c r="F177" s="101" t="str">
        <f>Soil_Detailed!F54</f>
        <v>D3</v>
      </c>
      <c r="G177" s="98">
        <f>Soil_Detailed!J54</f>
        <v>0.25929537973923739</v>
      </c>
    </row>
    <row r="178" spans="1:7" x14ac:dyDescent="0.25">
      <c r="A178" s="100" t="s">
        <v>380</v>
      </c>
      <c r="B178" s="108" t="str">
        <f>Soil_Detailed!B55</f>
        <v>T_IV_10_D3</v>
      </c>
      <c r="C178" s="101" t="str">
        <f>Soil_Detailed!C55</f>
        <v>T</v>
      </c>
      <c r="D178" s="101" t="str">
        <f>Soil_Detailed!D55</f>
        <v>IV</v>
      </c>
      <c r="E178" s="101">
        <f>Soil_Detailed!E55</f>
        <v>10</v>
      </c>
      <c r="F178" s="101" t="str">
        <f>Soil_Detailed!F55</f>
        <v>D3</v>
      </c>
      <c r="G178" s="98">
        <f>Soil_Detailed!J55</f>
        <v>2.4901053346645607</v>
      </c>
    </row>
    <row r="179" spans="1:7" x14ac:dyDescent="0.25">
      <c r="A179" s="100" t="s">
        <v>380</v>
      </c>
      <c r="B179" s="108" t="str">
        <f>Soil_Detailed!B56</f>
        <v>S_I_11_D3</v>
      </c>
      <c r="C179" s="101" t="str">
        <f>Soil_Detailed!C56</f>
        <v>S</v>
      </c>
      <c r="D179" s="101" t="str">
        <f>Soil_Detailed!D56</f>
        <v>I</v>
      </c>
      <c r="E179" s="101">
        <f>Soil_Detailed!E56</f>
        <v>11</v>
      </c>
      <c r="F179" s="101" t="str">
        <f>Soil_Detailed!F56</f>
        <v>D3</v>
      </c>
      <c r="G179" s="98">
        <f>Soil_Detailed!J56</f>
        <v>4.9645296795635172</v>
      </c>
    </row>
    <row r="180" spans="1:7" x14ac:dyDescent="0.25">
      <c r="A180" s="100" t="s">
        <v>380</v>
      </c>
      <c r="B180" s="108" t="str">
        <f>Soil_Detailed!B57</f>
        <v>S_I_12_D3</v>
      </c>
      <c r="C180" s="101" t="str">
        <f>Soil_Detailed!C57</f>
        <v>S</v>
      </c>
      <c r="D180" s="101" t="str">
        <f>Soil_Detailed!D57</f>
        <v>I</v>
      </c>
      <c r="E180" s="101">
        <f>Soil_Detailed!E57</f>
        <v>12</v>
      </c>
      <c r="F180" s="101" t="str">
        <f>Soil_Detailed!F57</f>
        <v>D3</v>
      </c>
      <c r="G180" s="98">
        <f>Soil_Detailed!J57</f>
        <v>6.1733821758613177</v>
      </c>
    </row>
    <row r="181" spans="1:7" x14ac:dyDescent="0.25">
      <c r="A181" s="100" t="s">
        <v>380</v>
      </c>
      <c r="B181" s="108" t="str">
        <f>Soil_Detailed!B58</f>
        <v>S_I_13_D3</v>
      </c>
      <c r="C181" s="101" t="str">
        <f>Soil_Detailed!C58</f>
        <v>S</v>
      </c>
      <c r="D181" s="101" t="str">
        <f>Soil_Detailed!D58</f>
        <v>I</v>
      </c>
      <c r="E181" s="101">
        <f>Soil_Detailed!E58</f>
        <v>13</v>
      </c>
      <c r="F181" s="101" t="str">
        <f>Soil_Detailed!F58</f>
        <v>D3</v>
      </c>
      <c r="G181" s="98">
        <f>Soil_Detailed!J58</f>
        <v>7.6020978797797734E-2</v>
      </c>
    </row>
    <row r="182" spans="1:7" x14ac:dyDescent="0.25">
      <c r="A182" s="100" t="s">
        <v>380</v>
      </c>
      <c r="B182" s="108" t="str">
        <f>Soil_Detailed!B59</f>
        <v>S_II_13_D3</v>
      </c>
      <c r="C182" s="101" t="str">
        <f>Soil_Detailed!C59</f>
        <v>S</v>
      </c>
      <c r="D182" s="101" t="str">
        <f>Soil_Detailed!D59</f>
        <v>II</v>
      </c>
      <c r="E182" s="101">
        <f>Soil_Detailed!E59</f>
        <v>13</v>
      </c>
      <c r="F182" s="101" t="str">
        <f>Soil_Detailed!F59</f>
        <v>D3</v>
      </c>
      <c r="G182" s="98">
        <f>Soil_Detailed!J59</f>
        <v>11.619827890683689</v>
      </c>
    </row>
    <row r="183" spans="1:7" x14ac:dyDescent="0.25">
      <c r="A183" s="100" t="s">
        <v>380</v>
      </c>
      <c r="B183" s="108" t="str">
        <f>Soil_Detailed!B60</f>
        <v>S_III_11_D3</v>
      </c>
      <c r="C183" s="101" t="str">
        <f>Soil_Detailed!C60</f>
        <v>S</v>
      </c>
      <c r="D183" s="101" t="str">
        <f>Soil_Detailed!D60</f>
        <v>III</v>
      </c>
      <c r="E183" s="101">
        <f>Soil_Detailed!E60</f>
        <v>11</v>
      </c>
      <c r="F183" s="101" t="str">
        <f>Soil_Detailed!F60</f>
        <v>D3</v>
      </c>
      <c r="G183" s="98">
        <f>Soil_Detailed!J60</f>
        <v>0.80189733937116681</v>
      </c>
    </row>
    <row r="184" spans="1:7" x14ac:dyDescent="0.25">
      <c r="A184" s="100" t="s">
        <v>380</v>
      </c>
      <c r="B184" s="108" t="str">
        <f>Soil_Detailed!B61</f>
        <v>S_III_12_D3</v>
      </c>
      <c r="C184" s="101" t="str">
        <f>Soil_Detailed!C61</f>
        <v>S</v>
      </c>
      <c r="D184" s="101" t="str">
        <f>Soil_Detailed!D61</f>
        <v>III</v>
      </c>
      <c r="E184" s="101">
        <f>Soil_Detailed!E61</f>
        <v>12</v>
      </c>
      <c r="F184" s="101" t="str">
        <f>Soil_Detailed!F61</f>
        <v>D3</v>
      </c>
      <c r="G184" s="98">
        <f>Soil_Detailed!J61</f>
        <v>1.627753181340762</v>
      </c>
    </row>
    <row r="185" spans="1:7" x14ac:dyDescent="0.25">
      <c r="A185" s="100" t="s">
        <v>380</v>
      </c>
      <c r="B185" s="108" t="str">
        <f>Soil_Detailed!B62</f>
        <v>S_III_13_D3</v>
      </c>
      <c r="C185" s="101" t="str">
        <f>Soil_Detailed!C62</f>
        <v>S</v>
      </c>
      <c r="D185" s="101" t="str">
        <f>Soil_Detailed!D62</f>
        <v>III</v>
      </c>
      <c r="E185" s="101">
        <f>Soil_Detailed!E62</f>
        <v>13</v>
      </c>
      <c r="F185" s="101" t="str">
        <f>Soil_Detailed!F62</f>
        <v>D3</v>
      </c>
      <c r="G185" s="98">
        <f>Soil_Detailed!J62</f>
        <v>7.3505831332826919</v>
      </c>
    </row>
    <row r="186" spans="1:7" x14ac:dyDescent="0.25">
      <c r="A186" s="100" t="s">
        <v>380</v>
      </c>
      <c r="B186" s="108" t="str">
        <f>Soil_Detailed!B63</f>
        <v>S_IV_11_D3</v>
      </c>
      <c r="C186" s="101" t="str">
        <f>Soil_Detailed!C63</f>
        <v>S</v>
      </c>
      <c r="D186" s="101" t="str">
        <f>Soil_Detailed!D63</f>
        <v>IV</v>
      </c>
      <c r="E186" s="101">
        <f>Soil_Detailed!E63</f>
        <v>11</v>
      </c>
      <c r="F186" s="101" t="str">
        <f>Soil_Detailed!F63</f>
        <v>D3</v>
      </c>
      <c r="G186" s="98">
        <f>Soil_Detailed!J63</f>
        <v>0.23943910472767904</v>
      </c>
    </row>
    <row r="187" spans="1:7" x14ac:dyDescent="0.25">
      <c r="A187" s="100" t="s">
        <v>380</v>
      </c>
      <c r="B187" s="108" t="str">
        <f>Soil_Detailed!B64</f>
        <v>S_IV_12_D3</v>
      </c>
      <c r="C187" s="101" t="str">
        <f>Soil_Detailed!C64</f>
        <v>S</v>
      </c>
      <c r="D187" s="101" t="str">
        <f>Soil_Detailed!D64</f>
        <v>IV</v>
      </c>
      <c r="E187" s="101">
        <f>Soil_Detailed!E64</f>
        <v>12</v>
      </c>
      <c r="F187" s="101" t="str">
        <f>Soil_Detailed!F64</f>
        <v>D3</v>
      </c>
      <c r="G187" s="98">
        <f>Soil_Detailed!J64</f>
        <v>0.64158457498491972</v>
      </c>
    </row>
    <row r="188" spans="1:7" x14ac:dyDescent="0.25">
      <c r="A188" s="100" t="s">
        <v>380</v>
      </c>
      <c r="B188" s="108" t="str">
        <f>Soil_Detailed!B65</f>
        <v>S_IV_13_D3</v>
      </c>
      <c r="C188" s="101" t="str">
        <f>Soil_Detailed!C65</f>
        <v>S</v>
      </c>
      <c r="D188" s="101" t="str">
        <f>Soil_Detailed!D65</f>
        <v>IV</v>
      </c>
      <c r="E188" s="101">
        <f>Soil_Detailed!E65</f>
        <v>13</v>
      </c>
      <c r="F188" s="101" t="str">
        <f>Soil_Detailed!F65</f>
        <v>D3</v>
      </c>
      <c r="G188" s="98">
        <f>Soil_Detailed!J65</f>
        <v>0.86920350441330485</v>
      </c>
    </row>
    <row r="189" spans="1:7" x14ac:dyDescent="0.25">
      <c r="A189" s="100" t="s">
        <v>380</v>
      </c>
      <c r="B189" s="108" t="str">
        <f>Soil_Detailed!B66</f>
        <v>N_I_3_D20</v>
      </c>
      <c r="C189" s="101" t="str">
        <f>Soil_Detailed!C66</f>
        <v>N</v>
      </c>
      <c r="D189" s="101" t="str">
        <f>Soil_Detailed!D66</f>
        <v>I</v>
      </c>
      <c r="E189" s="101">
        <f>Soil_Detailed!E66</f>
        <v>3</v>
      </c>
      <c r="F189" s="101" t="str">
        <f>Soil_Detailed!F66</f>
        <v>D20</v>
      </c>
      <c r="G189" s="98">
        <f>Soil_Detailed!J66</f>
        <v>1.0407978409501251E-2</v>
      </c>
    </row>
    <row r="190" spans="1:7" x14ac:dyDescent="0.25">
      <c r="A190" s="100" t="s">
        <v>380</v>
      </c>
      <c r="B190" s="108" t="str">
        <f>Soil_Detailed!B67</f>
        <v>N_I_5_D20</v>
      </c>
      <c r="C190" s="101" t="str">
        <f>Soil_Detailed!C67</f>
        <v>N</v>
      </c>
      <c r="D190" s="101" t="str">
        <f>Soil_Detailed!D67</f>
        <v>I</v>
      </c>
      <c r="E190" s="101">
        <f>Soil_Detailed!E67</f>
        <v>5</v>
      </c>
      <c r="F190" s="101" t="str">
        <f>Soil_Detailed!F67</f>
        <v>D20</v>
      </c>
      <c r="G190" s="98">
        <f>Soil_Detailed!J67</f>
        <v>1.7455615430656771E-2</v>
      </c>
    </row>
    <row r="191" spans="1:7" x14ac:dyDescent="0.25">
      <c r="A191" s="100" t="s">
        <v>380</v>
      </c>
      <c r="B191" s="108" t="str">
        <f>Soil_Detailed!B68</f>
        <v>N_I_7_D20</v>
      </c>
      <c r="C191" s="101" t="str">
        <f>Soil_Detailed!C68</f>
        <v>N</v>
      </c>
      <c r="D191" s="101" t="str">
        <f>Soil_Detailed!D68</f>
        <v>I</v>
      </c>
      <c r="E191" s="101">
        <f>Soil_Detailed!E68</f>
        <v>7</v>
      </c>
      <c r="F191" s="101" t="str">
        <f>Soil_Detailed!F68</f>
        <v>D20</v>
      </c>
      <c r="G191" s="98">
        <f>Soil_Detailed!J68</f>
        <v>5.0435847169925954E-2</v>
      </c>
    </row>
    <row r="192" spans="1:7" x14ac:dyDescent="0.25">
      <c r="A192" s="100" t="s">
        <v>380</v>
      </c>
      <c r="B192" s="108" t="str">
        <f>Soil_Detailed!B69</f>
        <v>S_I_11_D20</v>
      </c>
      <c r="C192" s="101" t="str">
        <f>Soil_Detailed!C69</f>
        <v>S</v>
      </c>
      <c r="D192" s="101" t="str">
        <f>Soil_Detailed!D69</f>
        <v>I</v>
      </c>
      <c r="E192" s="101">
        <f>Soil_Detailed!E69</f>
        <v>11</v>
      </c>
      <c r="F192" s="101" t="str">
        <f>Soil_Detailed!F69</f>
        <v>D20</v>
      </c>
      <c r="G192" s="98">
        <f>Soil_Detailed!J69</f>
        <v>0.11725989415012446</v>
      </c>
    </row>
    <row r="193" spans="1:7" x14ac:dyDescent="0.25">
      <c r="A193" s="100" t="s">
        <v>380</v>
      </c>
      <c r="B193" s="108" t="str">
        <f>Soil_Detailed!B70</f>
        <v>S_I_12_D20</v>
      </c>
      <c r="C193" s="101" t="str">
        <f>Soil_Detailed!C70</f>
        <v>S</v>
      </c>
      <c r="D193" s="101" t="str">
        <f>Soil_Detailed!D70</f>
        <v>I</v>
      </c>
      <c r="E193" s="101">
        <f>Soil_Detailed!E70</f>
        <v>12</v>
      </c>
      <c r="F193" s="101" t="str">
        <f>Soil_Detailed!F70</f>
        <v>D20</v>
      </c>
      <c r="G193" s="98">
        <f>Soil_Detailed!J70</f>
        <v>6.1355194421851569E-2</v>
      </c>
    </row>
    <row r="194" spans="1:7" x14ac:dyDescent="0.25">
      <c r="A194" s="100" t="s">
        <v>380</v>
      </c>
      <c r="B194" s="108" t="str">
        <f>Soil_Detailed!B71</f>
        <v>S_I_13_D20</v>
      </c>
      <c r="C194" s="101" t="str">
        <f>Soil_Detailed!C71</f>
        <v>S</v>
      </c>
      <c r="D194" s="101" t="str">
        <f>Soil_Detailed!D71</f>
        <v>I</v>
      </c>
      <c r="E194" s="101">
        <f>Soil_Detailed!E71</f>
        <v>13</v>
      </c>
      <c r="F194" s="101" t="str">
        <f>Soil_Detailed!F71</f>
        <v>D20</v>
      </c>
      <c r="G194" s="98">
        <f>Soil_Detailed!J71</f>
        <v>3.3088807758133346E-2</v>
      </c>
    </row>
    <row r="195" spans="1:7" x14ac:dyDescent="0.25">
      <c r="A195" s="100" t="s">
        <v>380</v>
      </c>
      <c r="B195" s="108" t="str">
        <f>Soil_Detailed!B72</f>
        <v>T_III_8_D20</v>
      </c>
      <c r="C195" s="101" t="str">
        <f>Soil_Detailed!C72</f>
        <v>T</v>
      </c>
      <c r="D195" s="101" t="str">
        <f>Soil_Detailed!D72</f>
        <v>III</v>
      </c>
      <c r="E195" s="101">
        <f>Soil_Detailed!E72</f>
        <v>8</v>
      </c>
      <c r="F195" s="101" t="str">
        <f>Soil_Detailed!F72</f>
        <v>D20</v>
      </c>
      <c r="G195" s="98">
        <f>Soil_Detailed!J72</f>
        <v>9.0784944260437317E-2</v>
      </c>
    </row>
    <row r="196" spans="1:7" x14ac:dyDescent="0.25">
      <c r="A196" s="100" t="s">
        <v>380</v>
      </c>
      <c r="B196" s="108" t="str">
        <f>Soil_Detailed!B73</f>
        <v>S_III_13_D20</v>
      </c>
      <c r="C196" s="101" t="str">
        <f>Soil_Detailed!C73</f>
        <v>S</v>
      </c>
      <c r="D196" s="101" t="str">
        <f>Soil_Detailed!D73</f>
        <v>III</v>
      </c>
      <c r="E196" s="101">
        <f>Soil_Detailed!E73</f>
        <v>13</v>
      </c>
      <c r="F196" s="101" t="str">
        <f>Soil_Detailed!F73</f>
        <v>D20</v>
      </c>
      <c r="G196" s="98">
        <f>Soil_Detailed!J73</f>
        <v>7.977895757651951E-2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0"/>
  <sheetViews>
    <sheetView topLeftCell="A21" zoomScale="85" zoomScaleNormal="85" zoomScalePageLayoutView="85" workbookViewId="0">
      <selection activeCell="J35" sqref="J35"/>
    </sheetView>
  </sheetViews>
  <sheetFormatPr baseColWidth="10" defaultRowHeight="15" x14ac:dyDescent="0.25"/>
  <cols>
    <col min="1" max="1" width="13" style="49"/>
    <col min="2" max="2" width="16.42578125" style="49" customWidth="1"/>
    <col min="3" max="3" width="13" style="49"/>
    <col min="4" max="4" width="16.42578125" style="260" customWidth="1"/>
    <col min="6" max="6" width="11.42578125" customWidth="1"/>
    <col min="8" max="8" width="13.140625" bestFit="1" customWidth="1"/>
    <col min="11" max="11" width="13.140625" bestFit="1" customWidth="1"/>
    <col min="12" max="12" width="14.42578125" customWidth="1"/>
    <col min="13" max="13" width="23.85546875" style="49" customWidth="1"/>
    <col min="14" max="14" width="24.140625" bestFit="1" customWidth="1"/>
    <col min="15" max="15" width="15.85546875" customWidth="1"/>
    <col min="16" max="16" width="15.42578125" bestFit="1" customWidth="1"/>
    <col min="19" max="19" width="15.85546875" bestFit="1" customWidth="1"/>
    <col min="21" max="21" width="20.140625" bestFit="1" customWidth="1"/>
    <col min="28" max="28" width="13.140625" bestFit="1" customWidth="1"/>
    <col min="29" max="29" width="14.85546875" bestFit="1" customWidth="1"/>
    <col min="30" max="30" width="24.140625" bestFit="1" customWidth="1"/>
    <col min="31" max="31" width="23.85546875" bestFit="1" customWidth="1"/>
  </cols>
  <sheetData>
    <row r="1" spans="1:31" x14ac:dyDescent="0.2">
      <c r="E1" s="50" t="s">
        <v>714</v>
      </c>
    </row>
    <row r="3" spans="1:31" x14ac:dyDescent="0.2">
      <c r="B3" s="298" t="s">
        <v>715</v>
      </c>
    </row>
    <row r="4" spans="1:31" x14ac:dyDescent="0.2">
      <c r="B4" s="215" t="s">
        <v>716</v>
      </c>
      <c r="D4" s="534" t="s">
        <v>717</v>
      </c>
      <c r="E4" s="534"/>
      <c r="F4" s="534"/>
      <c r="G4" s="534"/>
      <c r="H4" s="534"/>
      <c r="I4" s="534"/>
      <c r="J4" s="534"/>
      <c r="K4" s="534"/>
      <c r="L4" s="534"/>
      <c r="M4" s="534"/>
      <c r="N4" s="534"/>
      <c r="O4" s="245"/>
      <c r="P4" s="245"/>
      <c r="Q4" s="245"/>
      <c r="R4" s="49"/>
      <c r="S4" s="215" t="s">
        <v>716</v>
      </c>
      <c r="T4" s="49"/>
      <c r="U4" s="535" t="s">
        <v>718</v>
      </c>
      <c r="V4" s="535"/>
      <c r="W4" s="535"/>
      <c r="X4" s="535"/>
      <c r="Y4" s="535"/>
      <c r="Z4" s="535"/>
      <c r="AA4" s="535"/>
      <c r="AB4" s="535"/>
      <c r="AC4" s="535"/>
      <c r="AD4" s="535"/>
    </row>
    <row r="5" spans="1:31" x14ac:dyDescent="0.2">
      <c r="R5" s="49"/>
      <c r="S5" s="49"/>
      <c r="T5" s="49"/>
      <c r="U5" s="260"/>
      <c r="AC5" s="49"/>
    </row>
    <row r="6" spans="1:31" x14ac:dyDescent="0.2">
      <c r="D6" s="260" t="s">
        <v>719</v>
      </c>
      <c r="E6" t="s">
        <v>720</v>
      </c>
      <c r="R6" s="49"/>
      <c r="S6" s="49"/>
      <c r="T6" s="49"/>
      <c r="U6" s="260" t="s">
        <v>719</v>
      </c>
      <c r="V6" t="s">
        <v>720</v>
      </c>
      <c r="AD6" s="49"/>
    </row>
    <row r="7" spans="1:31" s="50" customFormat="1" x14ac:dyDescent="0.2">
      <c r="A7" s="260"/>
      <c r="B7" s="260"/>
      <c r="C7" s="260"/>
      <c r="D7" s="299" t="s">
        <v>199</v>
      </c>
      <c r="E7" s="299">
        <v>8</v>
      </c>
      <c r="F7" s="299">
        <v>7</v>
      </c>
      <c r="G7" s="299">
        <v>5</v>
      </c>
      <c r="H7" s="299">
        <v>4</v>
      </c>
      <c r="I7" s="299">
        <v>3</v>
      </c>
      <c r="J7" s="299">
        <v>2</v>
      </c>
      <c r="K7" s="299">
        <v>1</v>
      </c>
      <c r="L7" s="252" t="s">
        <v>616</v>
      </c>
      <c r="M7" s="299" t="s">
        <v>617</v>
      </c>
      <c r="R7" s="260"/>
      <c r="S7" s="260"/>
      <c r="T7" s="260"/>
      <c r="U7" s="299" t="s">
        <v>199</v>
      </c>
      <c r="V7" s="299">
        <v>8</v>
      </c>
      <c r="W7" s="299">
        <v>7</v>
      </c>
      <c r="X7" s="299">
        <v>5</v>
      </c>
      <c r="Y7" s="299">
        <v>4</v>
      </c>
      <c r="Z7" s="299">
        <v>3</v>
      </c>
      <c r="AA7" s="299">
        <v>2</v>
      </c>
      <c r="AB7" s="299">
        <v>1</v>
      </c>
      <c r="AC7" s="252" t="s">
        <v>616</v>
      </c>
      <c r="AD7" s="299" t="s">
        <v>617</v>
      </c>
    </row>
    <row r="8" spans="1:31" x14ac:dyDescent="0.2">
      <c r="D8" s="299" t="s">
        <v>721</v>
      </c>
      <c r="E8" s="49">
        <v>5</v>
      </c>
      <c r="F8" s="49">
        <v>4</v>
      </c>
      <c r="G8" s="49">
        <v>2</v>
      </c>
      <c r="H8" s="49">
        <v>2</v>
      </c>
      <c r="I8" s="49">
        <v>6</v>
      </c>
      <c r="J8" s="49">
        <v>8</v>
      </c>
      <c r="K8" s="49">
        <v>3</v>
      </c>
      <c r="L8" s="49" t="s">
        <v>615</v>
      </c>
      <c r="M8" s="49">
        <f>SUM(E8:K8)</f>
        <v>30</v>
      </c>
      <c r="N8" s="300" t="s">
        <v>722</v>
      </c>
      <c r="R8" s="49"/>
      <c r="S8" s="49"/>
      <c r="T8" s="49"/>
      <c r="U8" s="299" t="s">
        <v>723</v>
      </c>
      <c r="V8" s="49">
        <v>5</v>
      </c>
      <c r="W8" s="49">
        <v>4</v>
      </c>
      <c r="X8" s="49">
        <v>2</v>
      </c>
      <c r="Y8" s="49">
        <v>2</v>
      </c>
      <c r="Z8" s="49">
        <v>6</v>
      </c>
      <c r="AA8" s="49">
        <v>8</v>
      </c>
      <c r="AB8" s="49">
        <v>3</v>
      </c>
      <c r="AC8" s="49" t="s">
        <v>615</v>
      </c>
      <c r="AD8" s="49">
        <v>30</v>
      </c>
      <c r="AE8" s="300" t="s">
        <v>724</v>
      </c>
    </row>
    <row r="9" spans="1:31" x14ac:dyDescent="0.2">
      <c r="A9" s="299" t="s">
        <v>301</v>
      </c>
      <c r="B9" s="299" t="s">
        <v>573</v>
      </c>
      <c r="C9" s="299" t="s">
        <v>725</v>
      </c>
      <c r="D9" s="299" t="s">
        <v>726</v>
      </c>
      <c r="E9" s="301">
        <f t="shared" ref="E9:K9" si="0">E8/$M$8</f>
        <v>0.16666666666666666</v>
      </c>
      <c r="F9" s="301">
        <f t="shared" si="0"/>
        <v>0.13333333333333333</v>
      </c>
      <c r="G9" s="301">
        <f t="shared" si="0"/>
        <v>6.6666666666666666E-2</v>
      </c>
      <c r="H9" s="301">
        <f t="shared" si="0"/>
        <v>6.6666666666666666E-2</v>
      </c>
      <c r="I9" s="301">
        <f t="shared" si="0"/>
        <v>0.2</v>
      </c>
      <c r="J9" s="301">
        <f t="shared" si="0"/>
        <v>0.26666666666666666</v>
      </c>
      <c r="K9" s="301">
        <f t="shared" si="0"/>
        <v>0.1</v>
      </c>
      <c r="L9" s="301" t="s">
        <v>727</v>
      </c>
      <c r="M9" s="299" t="s">
        <v>728</v>
      </c>
      <c r="N9" s="299" t="s">
        <v>729</v>
      </c>
      <c r="R9" s="299" t="s">
        <v>301</v>
      </c>
      <c r="S9" s="299" t="s">
        <v>573</v>
      </c>
      <c r="T9" s="299" t="s">
        <v>725</v>
      </c>
      <c r="U9" s="299" t="s">
        <v>726</v>
      </c>
      <c r="V9" s="301">
        <v>0.16666666666666666</v>
      </c>
      <c r="W9" s="301">
        <v>0.13333333333333333</v>
      </c>
      <c r="X9" s="301">
        <v>6.6666666666666666E-2</v>
      </c>
      <c r="Y9" s="301">
        <v>6.6666666666666666E-2</v>
      </c>
      <c r="Z9" s="301">
        <v>0.2</v>
      </c>
      <c r="AA9" s="301">
        <v>0.26666666666666666</v>
      </c>
      <c r="AB9" s="301">
        <v>0.1</v>
      </c>
      <c r="AC9" s="301" t="s">
        <v>727</v>
      </c>
      <c r="AD9" s="299" t="s">
        <v>728</v>
      </c>
      <c r="AE9" s="299" t="s">
        <v>729</v>
      </c>
    </row>
    <row r="10" spans="1:31" x14ac:dyDescent="0.2">
      <c r="A10" s="49" t="s">
        <v>276</v>
      </c>
      <c r="B10" s="302">
        <v>42458.02</v>
      </c>
      <c r="C10" s="303" t="s">
        <v>300</v>
      </c>
      <c r="D10" s="51"/>
      <c r="E10" s="228">
        <f>[14]Soil_Detailed!J13</f>
        <v>1.6655858202808606E-2</v>
      </c>
      <c r="F10" s="228">
        <f>[14]Soil_Detailed!J12</f>
        <v>2.1528920176838467E-2</v>
      </c>
      <c r="G10" s="304">
        <f>[14]Soil_Detailed!J11</f>
        <v>0.13595458125693938</v>
      </c>
      <c r="H10" s="215">
        <f>[14]Soil_Detailed!J10</f>
        <v>0.67391037063055492</v>
      </c>
      <c r="I10" s="304">
        <f>[14]Soil_Detailed!J9</f>
        <v>1.2790982195651204</v>
      </c>
      <c r="J10" s="298">
        <f>[14]Soil_Detailed!J8</f>
        <v>4.0371664090231798</v>
      </c>
      <c r="K10" s="49">
        <f>[14]Soil_Detailed!J7</f>
        <v>6.1036549976904671E-2</v>
      </c>
      <c r="L10" s="267">
        <f>[15]MassAll!P35</f>
        <v>1.8293100230621178E-2</v>
      </c>
      <c r="M10" s="49" t="s">
        <v>730</v>
      </c>
      <c r="N10" s="305">
        <f t="shared" ref="N10:N25" si="1">E10*$E$9+F10*$F$9+G10*$G$9+H10*$H$9+I10*$I$9+J10*$J$9+K10*$K$9</f>
        <v>1.398138503833442</v>
      </c>
      <c r="P10" s="306"/>
      <c r="R10" s="49" t="s">
        <v>276</v>
      </c>
      <c r="S10" s="302">
        <v>42458.02</v>
      </c>
      <c r="T10" s="303" t="s">
        <v>300</v>
      </c>
      <c r="U10" s="51"/>
      <c r="V10" s="228">
        <v>1.6655858202808606E-2</v>
      </c>
      <c r="W10" s="228">
        <v>2.1528920176838467E-2</v>
      </c>
      <c r="X10" s="304">
        <v>0.13595458125693938</v>
      </c>
      <c r="Y10" s="215">
        <v>0.67391037063055492</v>
      </c>
      <c r="Z10" s="304">
        <v>1.2790982195651204</v>
      </c>
      <c r="AA10" s="298">
        <v>4.0371664090231798</v>
      </c>
      <c r="AB10" s="49">
        <v>6.1036549976904671E-2</v>
      </c>
      <c r="AC10" s="267">
        <v>1.8293100230621178E-2</v>
      </c>
      <c r="AD10" s="49" t="s">
        <v>730</v>
      </c>
      <c r="AE10" s="305">
        <v>1.398138503833442</v>
      </c>
    </row>
    <row r="11" spans="1:31" x14ac:dyDescent="0.2">
      <c r="A11" s="49" t="s">
        <v>731</v>
      </c>
      <c r="B11" s="303">
        <v>42465.02</v>
      </c>
      <c r="C11" s="303" t="s">
        <v>302</v>
      </c>
      <c r="D11" s="51" t="s">
        <v>17</v>
      </c>
      <c r="E11" s="228"/>
      <c r="F11" s="228"/>
      <c r="G11" s="49"/>
      <c r="H11" s="307"/>
      <c r="I11" s="307"/>
      <c r="J11" s="307"/>
      <c r="K11" s="49"/>
      <c r="L11" s="267"/>
      <c r="M11" s="228">
        <f>[14]Soil_Composite!R8</f>
        <v>1.6772417200855987</v>
      </c>
      <c r="N11" s="305">
        <f t="shared" si="1"/>
        <v>0</v>
      </c>
      <c r="O11" s="308"/>
      <c r="P11" s="306"/>
      <c r="R11" s="49" t="s">
        <v>731</v>
      </c>
      <c r="S11" s="303">
        <v>42465.02</v>
      </c>
      <c r="T11" s="303" t="s">
        <v>302</v>
      </c>
      <c r="U11" s="51" t="s">
        <v>17</v>
      </c>
      <c r="V11" s="228"/>
      <c r="W11" s="228"/>
      <c r="X11" s="49"/>
      <c r="Y11" s="307"/>
      <c r="Z11" s="307"/>
      <c r="AA11" s="307"/>
      <c r="AB11" s="49"/>
      <c r="AC11" s="267"/>
      <c r="AD11" s="228">
        <v>1.5895551317455463</v>
      </c>
      <c r="AE11" s="305">
        <v>0</v>
      </c>
    </row>
    <row r="12" spans="1:31" x14ac:dyDescent="0.2">
      <c r="A12" s="49" t="s">
        <v>732</v>
      </c>
      <c r="B12" s="302">
        <v>42474</v>
      </c>
      <c r="C12" s="303" t="s">
        <v>303</v>
      </c>
      <c r="D12" s="52" t="s">
        <v>4</v>
      </c>
      <c r="E12" s="309">
        <f>[14]Soil_Detailed!J18</f>
        <v>22.659895884767352</v>
      </c>
      <c r="F12" s="298">
        <f>[14]Soil_Detailed!J17</f>
        <v>8.9779347989584739</v>
      </c>
      <c r="G12" s="49"/>
      <c r="H12" s="298">
        <f>[14]Soil_Detailed!J15</f>
        <v>16.847778094429742</v>
      </c>
      <c r="I12" s="310"/>
      <c r="J12" s="310"/>
      <c r="K12" s="49"/>
      <c r="L12" s="267"/>
      <c r="M12" s="228">
        <f>[14]Soil_Composite!R9</f>
        <v>4.7684208572675875</v>
      </c>
      <c r="N12" s="305">
        <f t="shared" si="1"/>
        <v>6.0968924936176716</v>
      </c>
      <c r="O12" s="308"/>
      <c r="P12" s="311"/>
      <c r="R12" s="49" t="s">
        <v>732</v>
      </c>
      <c r="S12" s="302">
        <v>42474</v>
      </c>
      <c r="T12" s="303" t="s">
        <v>303</v>
      </c>
      <c r="U12" s="52" t="s">
        <v>4</v>
      </c>
      <c r="V12" s="309">
        <v>22.659895884767352</v>
      </c>
      <c r="W12" s="298">
        <v>8.9779347989584739</v>
      </c>
      <c r="X12" s="49"/>
      <c r="Y12" s="298">
        <v>16.847778094429742</v>
      </c>
      <c r="Z12" s="310"/>
      <c r="AA12" s="310"/>
      <c r="AB12" s="49"/>
      <c r="AC12" s="267"/>
      <c r="AD12" s="228">
        <v>4.8244413875424978</v>
      </c>
      <c r="AE12" s="305">
        <v>6.0968924936176716</v>
      </c>
    </row>
    <row r="13" spans="1:31" x14ac:dyDescent="0.2">
      <c r="B13" s="303">
        <v>42479.02</v>
      </c>
      <c r="C13" s="303" t="s">
        <v>304</v>
      </c>
      <c r="D13" s="52" t="s">
        <v>29</v>
      </c>
      <c r="E13" s="49"/>
      <c r="F13" s="49"/>
      <c r="G13" s="49"/>
      <c r="H13" s="49"/>
      <c r="I13" s="49"/>
      <c r="J13" s="49"/>
      <c r="K13" s="49"/>
      <c r="L13" s="267"/>
      <c r="M13" s="228">
        <f>[14]Soil_Composite!R10</f>
        <v>6.1843169398728586</v>
      </c>
      <c r="N13" s="305">
        <f t="shared" si="1"/>
        <v>0</v>
      </c>
      <c r="O13" s="308"/>
      <c r="P13" s="306"/>
      <c r="R13" s="49"/>
      <c r="S13" s="303">
        <v>42479.02</v>
      </c>
      <c r="T13" s="303" t="s">
        <v>304</v>
      </c>
      <c r="U13" s="52" t="s">
        <v>29</v>
      </c>
      <c r="V13" s="49"/>
      <c r="W13" s="49"/>
      <c r="X13" s="49"/>
      <c r="Y13" s="49"/>
      <c r="Z13" s="49"/>
      <c r="AA13" s="49"/>
      <c r="AB13" s="49"/>
      <c r="AC13" s="267"/>
      <c r="AD13" s="228">
        <v>6.1574246981357135</v>
      </c>
      <c r="AE13" s="305">
        <v>0</v>
      </c>
    </row>
    <row r="14" spans="1:31" x14ac:dyDescent="0.2">
      <c r="B14" s="303">
        <v>42486.02</v>
      </c>
      <c r="C14" s="303" t="s">
        <v>305</v>
      </c>
      <c r="D14" s="51" t="s">
        <v>18</v>
      </c>
      <c r="E14" s="49"/>
      <c r="F14" s="49"/>
      <c r="G14" s="49"/>
      <c r="H14" s="49"/>
      <c r="I14" s="49"/>
      <c r="J14" s="49"/>
      <c r="K14" s="49"/>
      <c r="L14" s="267"/>
      <c r="M14" s="228">
        <f>[14]Soil_Composite!R11</f>
        <v>3.3651405381219188</v>
      </c>
      <c r="N14" s="305">
        <f t="shared" si="1"/>
        <v>0</v>
      </c>
      <c r="O14" s="308"/>
      <c r="P14" s="306"/>
      <c r="R14" s="49"/>
      <c r="S14" s="303">
        <v>42486.02</v>
      </c>
      <c r="T14" s="303" t="s">
        <v>305</v>
      </c>
      <c r="U14" s="51" t="s">
        <v>18</v>
      </c>
      <c r="V14" s="49"/>
      <c r="W14" s="49"/>
      <c r="X14" s="49"/>
      <c r="Y14" s="49"/>
      <c r="Z14" s="49"/>
      <c r="AA14" s="49"/>
      <c r="AB14" s="49"/>
      <c r="AC14" s="267"/>
      <c r="AD14" s="228">
        <v>3.6200101140894532</v>
      </c>
      <c r="AE14" s="305">
        <v>0</v>
      </c>
    </row>
    <row r="15" spans="1:31" x14ac:dyDescent="0.2">
      <c r="B15" s="303">
        <v>42493.02</v>
      </c>
      <c r="C15" s="303" t="s">
        <v>306</v>
      </c>
      <c r="D15" s="51" t="s">
        <v>19</v>
      </c>
      <c r="E15" s="49"/>
      <c r="F15" s="49"/>
      <c r="G15" s="49"/>
      <c r="H15" s="49"/>
      <c r="I15" s="49"/>
      <c r="J15" s="49"/>
      <c r="K15" s="49"/>
      <c r="L15" s="267"/>
      <c r="M15" s="228">
        <f>[14]Soil_Composite!R12</f>
        <v>1.2310943376013941</v>
      </c>
      <c r="N15" s="305">
        <f t="shared" si="1"/>
        <v>0</v>
      </c>
      <c r="O15" s="308"/>
      <c r="P15" s="306"/>
      <c r="R15" s="49"/>
      <c r="S15" s="303">
        <v>42493.02</v>
      </c>
      <c r="T15" s="303" t="s">
        <v>306</v>
      </c>
      <c r="U15" s="51" t="s">
        <v>19</v>
      </c>
      <c r="V15" s="49"/>
      <c r="W15" s="49"/>
      <c r="X15" s="49"/>
      <c r="Y15" s="49"/>
      <c r="Z15" s="49"/>
      <c r="AA15" s="49"/>
      <c r="AB15" s="49"/>
      <c r="AC15" s="267"/>
      <c r="AD15" s="228">
        <v>1.070489495182759</v>
      </c>
      <c r="AE15" s="305">
        <v>0</v>
      </c>
    </row>
    <row r="16" spans="1:31" x14ac:dyDescent="0.2">
      <c r="B16" s="303">
        <v>42502</v>
      </c>
      <c r="C16" s="303" t="s">
        <v>307</v>
      </c>
      <c r="D16" s="51" t="s">
        <v>20</v>
      </c>
      <c r="E16" s="49"/>
      <c r="F16" s="49"/>
      <c r="G16" s="49"/>
      <c r="H16" s="49"/>
      <c r="I16" s="49"/>
      <c r="J16" s="49">
        <f>[14]Soil_Detailed!J19</f>
        <v>4.0987086093720393</v>
      </c>
      <c r="K16" s="49"/>
      <c r="L16" s="267"/>
      <c r="M16" s="228">
        <f>[14]Soil_Composite!R13</f>
        <v>2.8376546321170988</v>
      </c>
      <c r="N16" s="305">
        <f t="shared" si="1"/>
        <v>1.0929889624992104</v>
      </c>
      <c r="O16" s="308"/>
      <c r="P16" s="306"/>
      <c r="R16" s="49"/>
      <c r="S16" s="303">
        <v>42502</v>
      </c>
      <c r="T16" s="303" t="s">
        <v>307</v>
      </c>
      <c r="U16" s="51" t="s">
        <v>20</v>
      </c>
      <c r="V16" s="49"/>
      <c r="W16" s="49"/>
      <c r="X16" s="49"/>
      <c r="Y16" s="49"/>
      <c r="Z16" s="49"/>
      <c r="AA16" s="49">
        <v>4.0987086093720393</v>
      </c>
      <c r="AB16" s="49"/>
      <c r="AC16" s="267"/>
      <c r="AD16" s="228">
        <v>2.3105058892969068</v>
      </c>
      <c r="AE16" s="305">
        <v>1.0929889624992104</v>
      </c>
    </row>
    <row r="17" spans="1:31" x14ac:dyDescent="0.2">
      <c r="A17" s="49" t="s">
        <v>733</v>
      </c>
      <c r="B17" s="302">
        <v>42507.02</v>
      </c>
      <c r="C17" s="303" t="s">
        <v>308</v>
      </c>
      <c r="D17" s="51" t="s">
        <v>5</v>
      </c>
      <c r="E17" s="49"/>
      <c r="F17" s="49"/>
      <c r="G17" s="298">
        <f>[14]Soil_Detailed!J16</f>
        <v>3.3471072050035161E-2</v>
      </c>
      <c r="H17" s="49"/>
      <c r="I17" s="298">
        <f>[14]Soil_Detailed!J14</f>
        <v>6.1636751880220123E-2</v>
      </c>
      <c r="J17" s="49"/>
      <c r="K17" s="49"/>
      <c r="L17" s="267"/>
      <c r="M17" s="228">
        <f>[14]Soil_Composite!R14</f>
        <v>0.49672862515655392</v>
      </c>
      <c r="N17" s="305">
        <f t="shared" si="1"/>
        <v>1.4558755179379702E-2</v>
      </c>
      <c r="O17" s="308"/>
      <c r="P17" s="306"/>
      <c r="R17" s="49" t="s">
        <v>733</v>
      </c>
      <c r="S17" s="302">
        <v>42507.02</v>
      </c>
      <c r="T17" s="303" t="s">
        <v>308</v>
      </c>
      <c r="U17" s="51" t="s">
        <v>5</v>
      </c>
      <c r="V17" s="49"/>
      <c r="W17" s="49"/>
      <c r="X17" s="298">
        <v>3.3471072050035161E-2</v>
      </c>
      <c r="Y17" s="49"/>
      <c r="Z17" s="298">
        <v>6.1636751880220123E-2</v>
      </c>
      <c r="AA17" s="49"/>
      <c r="AB17" s="49"/>
      <c r="AC17" s="267"/>
      <c r="AD17" s="228">
        <v>0.50910239616026143</v>
      </c>
      <c r="AE17" s="305">
        <v>1.4558755179379702E-2</v>
      </c>
    </row>
    <row r="18" spans="1:31" x14ac:dyDescent="0.2">
      <c r="B18" s="303">
        <v>42514.02</v>
      </c>
      <c r="C18" s="303" t="s">
        <v>309</v>
      </c>
      <c r="D18" s="53" t="s">
        <v>6</v>
      </c>
      <c r="G18" s="312">
        <f t="shared" ref="G18:G24" si="2">B77</f>
        <v>3.3902809999999999E-2</v>
      </c>
      <c r="I18" s="312">
        <f t="shared" ref="I18:I24" si="3">B84</f>
        <v>3.7831299999999998E-2</v>
      </c>
      <c r="L18" s="313"/>
      <c r="M18" s="228">
        <f>[14]Soil_Composite!R15</f>
        <v>0.70391550860425967</v>
      </c>
      <c r="N18" s="305">
        <f t="shared" si="1"/>
        <v>9.8264473333333335E-3</v>
      </c>
      <c r="O18" s="308"/>
      <c r="P18" s="306"/>
      <c r="R18" s="49"/>
      <c r="S18" s="303">
        <v>42514.02</v>
      </c>
      <c r="T18" s="303" t="s">
        <v>309</v>
      </c>
      <c r="U18" s="53" t="s">
        <v>6</v>
      </c>
      <c r="X18" s="312">
        <v>3.3902809999999999E-2</v>
      </c>
      <c r="Z18" s="312">
        <v>3.7831299999999998E-2</v>
      </c>
      <c r="AC18" s="313"/>
      <c r="AD18" s="228">
        <v>0.71739522476215389</v>
      </c>
      <c r="AE18" s="305">
        <v>9.8264473333333335E-3</v>
      </c>
    </row>
    <row r="19" spans="1:31" x14ac:dyDescent="0.2">
      <c r="B19" s="303">
        <v>42521.02</v>
      </c>
      <c r="C19" s="303" t="s">
        <v>310</v>
      </c>
      <c r="D19" s="51" t="s">
        <v>7</v>
      </c>
      <c r="E19" s="49">
        <f>[14]Soil_Detailed!J24</f>
        <v>1.3828561966693096</v>
      </c>
      <c r="F19" s="49">
        <f>[14]Soil_Detailed!J23</f>
        <v>1.6234260039082049</v>
      </c>
      <c r="G19" s="312">
        <f t="shared" si="2"/>
        <v>2.906301E-2</v>
      </c>
      <c r="H19" s="49">
        <f>AVERAGE(E19:F19)</f>
        <v>1.5031411002887571</v>
      </c>
      <c r="I19" s="312">
        <f t="shared" si="3"/>
        <v>3.3803399999999997E-2</v>
      </c>
      <c r="L19" s="313"/>
      <c r="M19" s="228">
        <f>[14]Soil_Composite!R16</f>
        <v>0.88546930102345389</v>
      </c>
      <c r="N19" s="305">
        <f t="shared" si="1"/>
        <v>0.5558404539852293</v>
      </c>
      <c r="O19" s="308"/>
      <c r="P19" s="306"/>
      <c r="R19" s="49"/>
      <c r="S19" s="303">
        <v>42521.02</v>
      </c>
      <c r="T19" s="303" t="s">
        <v>310</v>
      </c>
      <c r="U19" s="51" t="s">
        <v>7</v>
      </c>
      <c r="V19" s="49">
        <v>1.3828561966693096</v>
      </c>
      <c r="W19" s="49">
        <v>1.6234260039082049</v>
      </c>
      <c r="X19" s="312">
        <v>2.906301E-2</v>
      </c>
      <c r="Y19" s="49">
        <v>1.5031411002887571</v>
      </c>
      <c r="Z19" s="312">
        <v>3.3803399999999997E-2</v>
      </c>
      <c r="AC19" s="313"/>
      <c r="AD19" s="228">
        <v>0.85862977090762593</v>
      </c>
      <c r="AE19" s="305">
        <v>0.5558404539852293</v>
      </c>
    </row>
    <row r="20" spans="1:31" x14ac:dyDescent="0.2">
      <c r="B20" s="303">
        <v>42528.02</v>
      </c>
      <c r="C20" s="303" t="s">
        <v>311</v>
      </c>
      <c r="D20" s="51" t="s">
        <v>170</v>
      </c>
      <c r="G20" s="312">
        <f t="shared" si="2"/>
        <v>4.7378990000000003E-2</v>
      </c>
      <c r="I20" s="312">
        <f t="shared" si="3"/>
        <v>6.603328E-2</v>
      </c>
      <c r="L20" s="313"/>
      <c r="M20" s="228">
        <f>[14]Soil_Composite!R17</f>
        <v>0</v>
      </c>
      <c r="N20" s="305">
        <f t="shared" si="1"/>
        <v>1.6365255333333335E-2</v>
      </c>
      <c r="O20" s="308"/>
      <c r="P20" s="306"/>
      <c r="R20" s="49"/>
      <c r="S20" s="303">
        <v>42528.02</v>
      </c>
      <c r="T20" s="303" t="s">
        <v>311</v>
      </c>
      <c r="U20" s="51" t="s">
        <v>170</v>
      </c>
      <c r="X20" s="312">
        <v>4.7378990000000003E-2</v>
      </c>
      <c r="Z20" s="312">
        <v>6.603328E-2</v>
      </c>
      <c r="AC20" s="313"/>
      <c r="AD20" s="228">
        <v>0.36446388767224058</v>
      </c>
      <c r="AE20" s="305">
        <v>1.6365255333333335E-2</v>
      </c>
    </row>
    <row r="21" spans="1:31" x14ac:dyDescent="0.2">
      <c r="B21" s="303">
        <v>42535.02</v>
      </c>
      <c r="C21" s="303" t="s">
        <v>312</v>
      </c>
      <c r="D21" s="51" t="s">
        <v>171</v>
      </c>
      <c r="G21" s="312">
        <f t="shared" si="2"/>
        <v>2.058016E-2</v>
      </c>
      <c r="I21" s="312">
        <f t="shared" si="3"/>
        <v>5.1178920000000003E-2</v>
      </c>
      <c r="L21" s="313"/>
      <c r="M21" s="228">
        <f>[14]Soil_Composite!R18</f>
        <v>0</v>
      </c>
      <c r="N21" s="305">
        <f t="shared" si="1"/>
        <v>1.1607794666666667E-2</v>
      </c>
      <c r="O21" s="308"/>
      <c r="P21" s="306"/>
      <c r="R21" s="49"/>
      <c r="S21" s="303">
        <v>42535.02</v>
      </c>
      <c r="T21" s="303" t="s">
        <v>312</v>
      </c>
      <c r="U21" s="51" t="s">
        <v>171</v>
      </c>
      <c r="X21" s="312">
        <v>2.058016E-2</v>
      </c>
      <c r="Z21" s="312">
        <v>5.1178920000000003E-2</v>
      </c>
      <c r="AC21" s="313"/>
      <c r="AD21" s="228">
        <v>2.0971600808769915</v>
      </c>
      <c r="AE21" s="305">
        <v>1.1607794666666667E-2</v>
      </c>
    </row>
    <row r="22" spans="1:31" x14ac:dyDescent="0.2">
      <c r="B22" s="303">
        <v>42542.02</v>
      </c>
      <c r="C22" s="303" t="s">
        <v>313</v>
      </c>
      <c r="D22" s="51" t="s">
        <v>172</v>
      </c>
      <c r="G22" s="312">
        <f t="shared" si="2"/>
        <v>5.8765919999999999E-2</v>
      </c>
      <c r="I22" s="312">
        <f t="shared" si="3"/>
        <v>4.8228760000000002E-2</v>
      </c>
      <c r="L22" s="313"/>
      <c r="M22" s="228">
        <f>[14]Soil_Composite!R19</f>
        <v>0</v>
      </c>
      <c r="N22" s="305">
        <f t="shared" si="1"/>
        <v>1.3563479999999999E-2</v>
      </c>
      <c r="O22" s="308"/>
      <c r="R22" s="49"/>
      <c r="S22" s="303">
        <v>42542.02</v>
      </c>
      <c r="T22" s="303" t="s">
        <v>313</v>
      </c>
      <c r="U22" s="51" t="s">
        <v>172</v>
      </c>
      <c r="X22" s="312">
        <v>5.8765919999999999E-2</v>
      </c>
      <c r="Z22" s="312">
        <v>4.8228760000000002E-2</v>
      </c>
      <c r="AC22" s="313"/>
      <c r="AD22" s="228">
        <v>1.7092545886049291</v>
      </c>
      <c r="AE22" s="305">
        <v>1.3563479999999999E-2</v>
      </c>
    </row>
    <row r="23" spans="1:31" x14ac:dyDescent="0.2">
      <c r="B23" s="303">
        <v>42549.02</v>
      </c>
      <c r="C23" s="303" t="s">
        <v>314</v>
      </c>
      <c r="D23" s="51" t="s">
        <v>173</v>
      </c>
      <c r="G23" s="312">
        <f t="shared" si="2"/>
        <v>6.333722E-2</v>
      </c>
      <c r="I23" s="312">
        <f t="shared" si="3"/>
        <v>4.9402109999999999E-2</v>
      </c>
      <c r="J23" s="49">
        <f>[14]Soil_Detailed!J26</f>
        <v>0.66534227215428143</v>
      </c>
      <c r="L23" s="313"/>
      <c r="M23" s="228">
        <f>[14]Soil_Composite!R20</f>
        <v>0</v>
      </c>
      <c r="N23" s="305">
        <f t="shared" si="1"/>
        <v>0.1915275092411417</v>
      </c>
      <c r="O23" s="308"/>
      <c r="R23" s="49"/>
      <c r="S23" s="303">
        <v>42549.02</v>
      </c>
      <c r="T23" s="303" t="s">
        <v>314</v>
      </c>
      <c r="U23" s="51" t="s">
        <v>173</v>
      </c>
      <c r="X23" s="312">
        <v>6.333722E-2</v>
      </c>
      <c r="Z23" s="312">
        <v>4.9402109999999999E-2</v>
      </c>
      <c r="AA23" s="49">
        <v>0.66534227215428143</v>
      </c>
      <c r="AC23" s="313"/>
      <c r="AD23" s="228">
        <v>0.25764692691783236</v>
      </c>
      <c r="AE23" s="305">
        <v>0.1915275092411417</v>
      </c>
    </row>
    <row r="24" spans="1:31" x14ac:dyDescent="0.2">
      <c r="B24" s="303">
        <v>42556.02</v>
      </c>
      <c r="C24" s="303" t="s">
        <v>315</v>
      </c>
      <c r="D24" s="51" t="s">
        <v>174</v>
      </c>
      <c r="G24" s="312">
        <f t="shared" si="2"/>
        <v>3.770577E-2</v>
      </c>
      <c r="I24" s="312">
        <f t="shared" si="3"/>
        <v>3.9429890000000002E-2</v>
      </c>
      <c r="L24" s="313"/>
      <c r="M24" s="228">
        <f>[14]Soil_Composite!R21</f>
        <v>0</v>
      </c>
      <c r="N24" s="305">
        <f t="shared" si="1"/>
        <v>1.0399696E-2</v>
      </c>
      <c r="O24" s="308"/>
      <c r="R24" s="49"/>
      <c r="S24" s="303">
        <v>42556.02</v>
      </c>
      <c r="T24" s="303" t="s">
        <v>315</v>
      </c>
      <c r="U24" s="51" t="s">
        <v>174</v>
      </c>
      <c r="X24" s="312">
        <v>3.770577E-2</v>
      </c>
      <c r="Z24" s="312">
        <v>3.9429890000000002E-2</v>
      </c>
      <c r="AC24" s="313"/>
      <c r="AD24" s="228">
        <v>1.3336411412228617</v>
      </c>
      <c r="AE24" s="305">
        <v>1.0399696E-2</v>
      </c>
    </row>
    <row r="25" spans="1:31" x14ac:dyDescent="0.2">
      <c r="B25" s="303">
        <v>42563.02</v>
      </c>
      <c r="C25" s="303" t="s">
        <v>316</v>
      </c>
      <c r="D25" s="51" t="s">
        <v>175</v>
      </c>
      <c r="E25" s="49">
        <f>[14]Soil_Detailed!J31</f>
        <v>0.27178384653938376</v>
      </c>
      <c r="F25" s="314">
        <f>AVERAGE(E25,G25)</f>
        <v>0.15544363291531452</v>
      </c>
      <c r="G25">
        <f>[14]Soil_Detailed!J29</f>
        <v>3.9103419291245278E-2</v>
      </c>
      <c r="H25" s="49">
        <f>[14]Soil_Detailed!J28</f>
        <v>0.46727359791770318</v>
      </c>
      <c r="I25">
        <f>[14]Soil_Detailed!J27</f>
        <v>4.8927738987480131E-2</v>
      </c>
      <c r="J25" s="315">
        <f>J23</f>
        <v>0.66534227215428143</v>
      </c>
      <c r="K25" s="316">
        <f>[14]Soil_Detailed!J25</f>
        <v>3.6766704029313999</v>
      </c>
      <c r="L25" s="317"/>
      <c r="M25" s="228">
        <f>[14]Soil_Composite!R22</f>
        <v>0</v>
      </c>
      <c r="N25" s="305">
        <f t="shared" si="1"/>
        <v>0.65465878729098015</v>
      </c>
      <c r="O25" s="308"/>
      <c r="R25" s="49"/>
      <c r="S25" s="303">
        <v>42563.02</v>
      </c>
      <c r="T25" s="303" t="s">
        <v>316</v>
      </c>
      <c r="U25" s="51" t="s">
        <v>175</v>
      </c>
      <c r="V25" s="49">
        <v>0.27178384653938376</v>
      </c>
      <c r="W25" s="314">
        <v>0.15544363291531452</v>
      </c>
      <c r="X25">
        <v>3.9103419291245278E-2</v>
      </c>
      <c r="Y25" s="49">
        <v>0.46727359791770318</v>
      </c>
      <c r="Z25">
        <v>4.8927738987480131E-2</v>
      </c>
      <c r="AA25" s="315">
        <v>0.66534227215428143</v>
      </c>
      <c r="AB25" s="316">
        <v>3.6766704029313999</v>
      </c>
      <c r="AC25" s="317"/>
      <c r="AD25" s="228">
        <v>0.95642005888328807</v>
      </c>
      <c r="AE25" s="305">
        <v>0.65465878729098015</v>
      </c>
    </row>
    <row r="26" spans="1:31" x14ac:dyDescent="0.2">
      <c r="B26" s="303"/>
      <c r="C26" s="303"/>
      <c r="P26" s="245"/>
      <c r="R26" s="49"/>
      <c r="S26" s="303"/>
      <c r="T26" s="303"/>
      <c r="U26" s="260"/>
      <c r="AD26" s="49"/>
    </row>
    <row r="27" spans="1:31" s="50" customFormat="1" x14ac:dyDescent="0.2">
      <c r="A27" s="260"/>
      <c r="B27" s="318"/>
      <c r="C27" s="318"/>
      <c r="D27" s="299" t="s">
        <v>200</v>
      </c>
      <c r="E27" s="299">
        <v>8</v>
      </c>
      <c r="F27" s="299">
        <v>7</v>
      </c>
      <c r="G27" s="299">
        <v>5</v>
      </c>
      <c r="H27" s="299">
        <v>4</v>
      </c>
      <c r="I27" s="299">
        <v>10</v>
      </c>
      <c r="J27" s="299">
        <v>9</v>
      </c>
      <c r="K27" s="252" t="s">
        <v>628</v>
      </c>
      <c r="L27" s="252" t="s">
        <v>627</v>
      </c>
      <c r="M27" s="299" t="s">
        <v>617</v>
      </c>
      <c r="R27" s="260"/>
      <c r="S27" s="318"/>
      <c r="T27" s="318"/>
      <c r="U27" s="299" t="s">
        <v>200</v>
      </c>
      <c r="V27" s="299">
        <v>8</v>
      </c>
      <c r="W27" s="299">
        <v>7</v>
      </c>
      <c r="X27" s="299">
        <v>5</v>
      </c>
      <c r="Y27" s="299">
        <v>4</v>
      </c>
      <c r="Z27" s="299">
        <v>10</v>
      </c>
      <c r="AA27" s="299">
        <v>9</v>
      </c>
      <c r="AB27" s="252" t="s">
        <v>628</v>
      </c>
      <c r="AC27" s="252" t="s">
        <v>627</v>
      </c>
      <c r="AD27" s="299" t="s">
        <v>617</v>
      </c>
    </row>
    <row r="28" spans="1:31" x14ac:dyDescent="0.2">
      <c r="B28" s="303"/>
      <c r="C28" s="303"/>
      <c r="D28" s="299" t="s">
        <v>721</v>
      </c>
      <c r="E28" s="49">
        <v>5</v>
      </c>
      <c r="F28" s="49">
        <v>4</v>
      </c>
      <c r="G28" s="49">
        <v>2</v>
      </c>
      <c r="H28" s="49">
        <v>2</v>
      </c>
      <c r="I28" s="49">
        <v>6</v>
      </c>
      <c r="J28" s="49">
        <v>6</v>
      </c>
      <c r="K28" s="49" t="s">
        <v>598</v>
      </c>
      <c r="L28" s="49" t="s">
        <v>626</v>
      </c>
      <c r="M28" s="49">
        <f>SUM(E28:J28)</f>
        <v>25</v>
      </c>
      <c r="R28" s="49"/>
      <c r="S28" s="303"/>
      <c r="T28" s="303"/>
      <c r="U28" s="299" t="s">
        <v>723</v>
      </c>
      <c r="V28" s="49">
        <v>5</v>
      </c>
      <c r="W28" s="49">
        <v>4</v>
      </c>
      <c r="X28" s="49">
        <v>2</v>
      </c>
      <c r="Y28" s="49">
        <v>2</v>
      </c>
      <c r="Z28" s="49">
        <v>6</v>
      </c>
      <c r="AA28" s="49">
        <v>6</v>
      </c>
      <c r="AB28" s="49" t="s">
        <v>598</v>
      </c>
      <c r="AC28" s="49" t="s">
        <v>626</v>
      </c>
      <c r="AD28" s="49">
        <v>25</v>
      </c>
    </row>
    <row r="29" spans="1:31" x14ac:dyDescent="0.2">
      <c r="A29" s="299"/>
      <c r="B29" s="299"/>
      <c r="C29" s="299"/>
      <c r="D29" s="299" t="s">
        <v>726</v>
      </c>
      <c r="E29" s="319">
        <f t="shared" ref="E29:J29" si="4">E28/$M$28</f>
        <v>0.2</v>
      </c>
      <c r="F29" s="319">
        <f t="shared" si="4"/>
        <v>0.16</v>
      </c>
      <c r="G29" s="319">
        <f t="shared" si="4"/>
        <v>0.08</v>
      </c>
      <c r="H29" s="319">
        <f t="shared" si="4"/>
        <v>0.08</v>
      </c>
      <c r="I29" s="319">
        <f t="shared" si="4"/>
        <v>0.24</v>
      </c>
      <c r="J29" s="319">
        <f t="shared" si="4"/>
        <v>0.24</v>
      </c>
      <c r="K29" s="301" t="s">
        <v>734</v>
      </c>
      <c r="L29" s="301" t="s">
        <v>735</v>
      </c>
      <c r="M29" s="49">
        <f>SUM(E29:J29)</f>
        <v>1</v>
      </c>
      <c r="N29" s="305"/>
      <c r="R29" s="299"/>
      <c r="S29" s="299"/>
      <c r="T29" s="299"/>
      <c r="U29" s="299" t="s">
        <v>726</v>
      </c>
      <c r="V29" s="319">
        <v>0.2</v>
      </c>
      <c r="W29" s="319">
        <v>0.16</v>
      </c>
      <c r="X29" s="319">
        <v>0.08</v>
      </c>
      <c r="Y29" s="319">
        <v>0.08</v>
      </c>
      <c r="Z29" s="319">
        <v>0.24</v>
      </c>
      <c r="AA29" s="319">
        <v>0.24</v>
      </c>
      <c r="AB29" s="301" t="s">
        <v>734</v>
      </c>
      <c r="AC29" s="301" t="s">
        <v>735</v>
      </c>
      <c r="AD29" s="49">
        <v>1</v>
      </c>
      <c r="AE29" s="305"/>
    </row>
    <row r="30" spans="1:31" x14ac:dyDescent="0.2">
      <c r="A30" s="49" t="s">
        <v>276</v>
      </c>
      <c r="B30" s="302">
        <v>42458.02</v>
      </c>
      <c r="C30" s="303" t="s">
        <v>300</v>
      </c>
      <c r="D30" s="51"/>
      <c r="E30" s="49">
        <f>[14]Soil_Detailed!J35</f>
        <v>4.6010404225590905E-2</v>
      </c>
      <c r="F30" s="49">
        <f>[14]Soil_Detailed!J34</f>
        <v>3.9678772213326212E-2</v>
      </c>
      <c r="G30" s="49">
        <f>[14]Soil_Detailed!J33</f>
        <v>0.12423820155140129</v>
      </c>
      <c r="H30" s="49">
        <f>[14]Soil_Detailed!J32</f>
        <v>2.1132256733247343E-2</v>
      </c>
      <c r="I30" s="49">
        <f>[14]Soil_Detailed!J37</f>
        <v>4.1355007865185374E-2</v>
      </c>
      <c r="J30" s="298">
        <f>[14]Soil_Detailed!J36</f>
        <v>4.532193365155841</v>
      </c>
      <c r="K30" s="267">
        <f>J30</f>
        <v>4.532193365155841</v>
      </c>
      <c r="L30" s="267"/>
      <c r="M30" s="228" t="s">
        <v>730</v>
      </c>
      <c r="N30" s="305">
        <f>E30*$E$29+F30*$F$29+G30*$G$29+H30*$H$29+I30*$I$29+J30*$J$29</f>
        <v>1.1248319305870687</v>
      </c>
      <c r="R30" s="49" t="s">
        <v>276</v>
      </c>
      <c r="S30" s="302">
        <v>42458.02</v>
      </c>
      <c r="T30" s="303" t="s">
        <v>300</v>
      </c>
      <c r="U30" s="51"/>
      <c r="V30" s="49">
        <v>4.6010404225590905E-2</v>
      </c>
      <c r="W30" s="49">
        <v>3.9678772213326212E-2</v>
      </c>
      <c r="X30" s="49">
        <v>0.12423820155140129</v>
      </c>
      <c r="Y30" s="49">
        <v>2.1132256733247343E-2</v>
      </c>
      <c r="Z30" s="49">
        <v>4.1355007865185374E-2</v>
      </c>
      <c r="AA30" s="298">
        <v>4.532193365155841</v>
      </c>
      <c r="AB30" s="267">
        <v>4.532193365155841</v>
      </c>
      <c r="AC30" s="267"/>
      <c r="AD30" s="228" t="s">
        <v>730</v>
      </c>
      <c r="AE30" s="305">
        <v>1.1248319305870687</v>
      </c>
    </row>
    <row r="31" spans="1:31" x14ac:dyDescent="0.2">
      <c r="B31" s="303">
        <v>42465.02</v>
      </c>
      <c r="C31" s="303" t="s">
        <v>302</v>
      </c>
      <c r="D31" s="51" t="s">
        <v>25</v>
      </c>
      <c r="E31" s="49"/>
      <c r="F31" s="49"/>
      <c r="G31" s="49"/>
      <c r="H31" s="49"/>
      <c r="I31" s="49"/>
      <c r="J31" s="49"/>
      <c r="K31" s="267"/>
      <c r="L31" s="267"/>
      <c r="M31" s="228">
        <f>[14]Soil_Composite!R38</f>
        <v>1.4635242536178898</v>
      </c>
      <c r="N31" s="305">
        <f t="shared" ref="N31:N45" si="5">E31*$E$29+F31*$F$29+G31*$G$29+H31*$H$29+I31*$I$29+J31*$J$29</f>
        <v>0</v>
      </c>
      <c r="R31" s="49"/>
      <c r="S31" s="303">
        <v>42465.02</v>
      </c>
      <c r="T31" s="303" t="s">
        <v>302</v>
      </c>
      <c r="U31" s="51" t="s">
        <v>25</v>
      </c>
      <c r="V31" s="49"/>
      <c r="W31" s="49"/>
      <c r="X31" s="49"/>
      <c r="Y31" s="49"/>
      <c r="Z31" s="49"/>
      <c r="AA31" s="49"/>
      <c r="AB31" s="267"/>
      <c r="AC31" s="267"/>
      <c r="AD31" s="228">
        <v>1.4632720947001103</v>
      </c>
      <c r="AE31" s="305">
        <v>0</v>
      </c>
    </row>
    <row r="32" spans="1:31" x14ac:dyDescent="0.2">
      <c r="B32" s="302">
        <v>42474</v>
      </c>
      <c r="C32" s="303" t="s">
        <v>303</v>
      </c>
      <c r="D32" s="52" t="s">
        <v>13</v>
      </c>
      <c r="E32" s="298">
        <f>[14]Soil_Detailed!J41</f>
        <v>8.1891526215240624</v>
      </c>
      <c r="F32" s="298">
        <f>[14]Soil_Detailed!J40</f>
        <v>7.6755396750435354</v>
      </c>
      <c r="G32" s="49"/>
      <c r="H32" s="298">
        <f>[14]Soil_Detailed!J38</f>
        <v>10.876588272177313</v>
      </c>
      <c r="I32" s="49"/>
      <c r="J32" s="49"/>
      <c r="K32" s="267"/>
      <c r="L32" s="267">
        <f>E52</f>
        <v>9.9598524777288748</v>
      </c>
      <c r="M32" s="228">
        <f>[14]Soil_Composite!R39</f>
        <v>3.0802172104393559</v>
      </c>
      <c r="N32" s="305">
        <f t="shared" si="5"/>
        <v>3.7360439340859632</v>
      </c>
      <c r="R32" s="49"/>
      <c r="S32" s="302">
        <v>42474</v>
      </c>
      <c r="T32" s="303" t="s">
        <v>303</v>
      </c>
      <c r="U32" s="52" t="s">
        <v>13</v>
      </c>
      <c r="V32" s="298">
        <v>8.1891526215240624</v>
      </c>
      <c r="W32" s="298">
        <v>7.6755396750435354</v>
      </c>
      <c r="X32" s="49"/>
      <c r="Y32" s="298">
        <v>10.876588272177313</v>
      </c>
      <c r="Z32" s="49"/>
      <c r="AA32" s="49"/>
      <c r="AB32" s="267"/>
      <c r="AC32" s="267">
        <v>9.9598524777288748</v>
      </c>
      <c r="AD32" s="228">
        <v>3.0154551034462935</v>
      </c>
      <c r="AE32" s="305">
        <v>3.7360439340859632</v>
      </c>
    </row>
    <row r="33" spans="1:31" x14ac:dyDescent="0.2">
      <c r="B33" s="303">
        <v>42479.02</v>
      </c>
      <c r="C33" s="303" t="s">
        <v>304</v>
      </c>
      <c r="D33" s="52" t="s">
        <v>14</v>
      </c>
      <c r="E33" s="49"/>
      <c r="F33" s="49"/>
      <c r="G33" s="49"/>
      <c r="H33" s="49"/>
      <c r="I33" s="49"/>
      <c r="J33" s="49"/>
      <c r="K33" s="267"/>
      <c r="L33" s="267"/>
      <c r="M33" s="228">
        <f>[14]Soil_Composite!R40</f>
        <v>4.1665017641877498</v>
      </c>
      <c r="N33" s="305">
        <f t="shared" si="5"/>
        <v>0</v>
      </c>
      <c r="R33" s="49"/>
      <c r="S33" s="303">
        <v>42479.02</v>
      </c>
      <c r="T33" s="303" t="s">
        <v>304</v>
      </c>
      <c r="U33" s="52" t="s">
        <v>14</v>
      </c>
      <c r="V33" s="49"/>
      <c r="W33" s="49"/>
      <c r="X33" s="49"/>
      <c r="Y33" s="49"/>
      <c r="Z33" s="49"/>
      <c r="AA33" s="49"/>
      <c r="AB33" s="267"/>
      <c r="AC33" s="267"/>
      <c r="AD33" s="228">
        <v>4.3661956211860895</v>
      </c>
      <c r="AE33" s="305">
        <v>0</v>
      </c>
    </row>
    <row r="34" spans="1:31" x14ac:dyDescent="0.2">
      <c r="B34" s="303">
        <v>42486.02</v>
      </c>
      <c r="C34" s="303" t="s">
        <v>305</v>
      </c>
      <c r="D34" s="51" t="s">
        <v>26</v>
      </c>
      <c r="E34" s="49"/>
      <c r="F34" s="49"/>
      <c r="G34" s="49"/>
      <c r="H34" s="49"/>
      <c r="I34" s="49"/>
      <c r="J34" s="49"/>
      <c r="K34" s="267"/>
      <c r="L34" s="267"/>
      <c r="M34" s="228">
        <f>[14]Soil_Composite!R41</f>
        <v>3.9837085333991729</v>
      </c>
      <c r="N34" s="305">
        <f t="shared" si="5"/>
        <v>0</v>
      </c>
      <c r="R34" s="49"/>
      <c r="S34" s="303">
        <v>42486.02</v>
      </c>
      <c r="T34" s="303" t="s">
        <v>305</v>
      </c>
      <c r="U34" s="51" t="s">
        <v>26</v>
      </c>
      <c r="V34" s="49"/>
      <c r="W34" s="49"/>
      <c r="X34" s="49"/>
      <c r="Y34" s="49"/>
      <c r="Z34" s="49"/>
      <c r="AA34" s="49"/>
      <c r="AB34" s="267"/>
      <c r="AC34" s="267"/>
      <c r="AD34" s="228">
        <v>4.0263597252140206</v>
      </c>
      <c r="AE34" s="305">
        <v>0</v>
      </c>
    </row>
    <row r="35" spans="1:31" x14ac:dyDescent="0.2">
      <c r="B35" s="303">
        <v>42493.02</v>
      </c>
      <c r="C35" s="303" t="s">
        <v>306</v>
      </c>
      <c r="D35" s="51" t="s">
        <v>27</v>
      </c>
      <c r="E35" s="49"/>
      <c r="F35" s="49"/>
      <c r="G35" s="49"/>
      <c r="H35" s="49"/>
      <c r="I35" s="49"/>
      <c r="J35" s="49"/>
      <c r="K35" s="267"/>
      <c r="L35" s="267"/>
      <c r="M35" s="228">
        <f>[14]Soil_Composite!R42</f>
        <v>1.8424307628669254</v>
      </c>
      <c r="N35" s="305">
        <f t="shared" si="5"/>
        <v>0</v>
      </c>
      <c r="R35" s="49"/>
      <c r="S35" s="303">
        <v>42493.02</v>
      </c>
      <c r="T35" s="303" t="s">
        <v>306</v>
      </c>
      <c r="U35" s="51" t="s">
        <v>27</v>
      </c>
      <c r="V35" s="49"/>
      <c r="W35" s="49"/>
      <c r="X35" s="49"/>
      <c r="Y35" s="49"/>
      <c r="Z35" s="49"/>
      <c r="AA35" s="49"/>
      <c r="AB35" s="267"/>
      <c r="AC35" s="267"/>
      <c r="AD35" s="228">
        <v>1.6651244634779927</v>
      </c>
      <c r="AE35" s="305">
        <v>0</v>
      </c>
    </row>
    <row r="36" spans="1:31" x14ac:dyDescent="0.2">
      <c r="B36" s="303">
        <v>42502</v>
      </c>
      <c r="C36" s="303" t="s">
        <v>307</v>
      </c>
      <c r="D36" s="51" t="s">
        <v>28</v>
      </c>
      <c r="E36" s="49"/>
      <c r="F36" s="49"/>
      <c r="G36" s="49"/>
      <c r="H36" s="49"/>
      <c r="I36" s="49"/>
      <c r="J36" s="49">
        <f>[14]Soil_Detailed!J48</f>
        <v>3.6736283476830827</v>
      </c>
      <c r="K36" s="267"/>
      <c r="L36" s="267"/>
      <c r="M36" s="228">
        <f>[14]Soil_Composite!R43</f>
        <v>1.7590901912944759</v>
      </c>
      <c r="N36" s="305">
        <f t="shared" si="5"/>
        <v>0.88167080344393978</v>
      </c>
      <c r="R36" s="49"/>
      <c r="S36" s="303">
        <v>42502</v>
      </c>
      <c r="T36" s="303" t="s">
        <v>307</v>
      </c>
      <c r="U36" s="51" t="s">
        <v>28</v>
      </c>
      <c r="V36" s="49"/>
      <c r="W36" s="49"/>
      <c r="X36" s="49"/>
      <c r="Y36" s="49"/>
      <c r="Z36" s="49"/>
      <c r="AA36" s="49">
        <v>3.6736283476830827</v>
      </c>
      <c r="AB36" s="267"/>
      <c r="AC36" s="267"/>
      <c r="AD36" s="228">
        <v>1.8243919123532297</v>
      </c>
      <c r="AE36" s="305">
        <v>0.88167080344393978</v>
      </c>
    </row>
    <row r="37" spans="1:31" x14ac:dyDescent="0.2">
      <c r="B37" s="302">
        <v>42507.02</v>
      </c>
      <c r="C37" s="303" t="s">
        <v>308</v>
      </c>
      <c r="D37" s="51" t="s">
        <v>15</v>
      </c>
      <c r="E37" s="49"/>
      <c r="F37" s="49"/>
      <c r="G37" s="298">
        <f>[14]Soil_Detailed!J39</f>
        <v>3.9565549113689556E-2</v>
      </c>
      <c r="H37" s="49"/>
      <c r="I37" s="49"/>
      <c r="J37" s="49"/>
      <c r="K37" s="267"/>
      <c r="L37" s="267"/>
      <c r="M37" s="228">
        <f>[14]Soil_Composite!R44</f>
        <v>0.72434216275257324</v>
      </c>
      <c r="N37" s="305">
        <f t="shared" si="5"/>
        <v>3.1652439290951644E-3</v>
      </c>
      <c r="R37" s="49"/>
      <c r="S37" s="302">
        <v>42507.02</v>
      </c>
      <c r="T37" s="303" t="s">
        <v>308</v>
      </c>
      <c r="U37" s="51" t="s">
        <v>15</v>
      </c>
      <c r="V37" s="49"/>
      <c r="W37" s="49"/>
      <c r="X37" s="298">
        <v>3.9565549113689556E-2</v>
      </c>
      <c r="Y37" s="49"/>
      <c r="Z37" s="49"/>
      <c r="AA37" s="49"/>
      <c r="AB37" s="267"/>
      <c r="AC37" s="267"/>
      <c r="AD37" s="228">
        <v>0.73559322383949233</v>
      </c>
      <c r="AE37" s="305">
        <v>3.1652439290951644E-3</v>
      </c>
    </row>
    <row r="38" spans="1:31" x14ac:dyDescent="0.2">
      <c r="B38" s="303">
        <v>42514.02</v>
      </c>
      <c r="C38" s="303" t="s">
        <v>309</v>
      </c>
      <c r="D38" s="51" t="s">
        <v>16</v>
      </c>
      <c r="K38" s="313"/>
      <c r="L38" s="313"/>
      <c r="M38" s="228">
        <f>[14]Soil_Composite!R45</f>
        <v>0.57422370040387261</v>
      </c>
      <c r="N38" s="305">
        <f t="shared" si="5"/>
        <v>0</v>
      </c>
      <c r="R38" s="49"/>
      <c r="S38" s="303">
        <v>42514.02</v>
      </c>
      <c r="T38" s="303" t="s">
        <v>309</v>
      </c>
      <c r="U38" s="51" t="s">
        <v>16</v>
      </c>
      <c r="AB38" s="313"/>
      <c r="AC38" s="313"/>
      <c r="AD38" s="228">
        <v>0.58580618000860563</v>
      </c>
      <c r="AE38" s="305">
        <v>0</v>
      </c>
    </row>
    <row r="39" spans="1:31" x14ac:dyDescent="0.2">
      <c r="B39" s="303">
        <v>42521.02</v>
      </c>
      <c r="C39" s="303" t="s">
        <v>310</v>
      </c>
      <c r="D39" s="51" t="s">
        <v>119</v>
      </c>
      <c r="E39">
        <f>[14]Soil_Detailed!J47</f>
        <v>1.1145063022538575</v>
      </c>
      <c r="F39">
        <f>[14]Soil_Detailed!J46</f>
        <v>2.8477315563812069</v>
      </c>
      <c r="H39">
        <f>[14]Soil_Detailed!J44</f>
        <v>1.8712199479521425</v>
      </c>
      <c r="K39" s="313"/>
      <c r="L39" s="313"/>
      <c r="M39" s="228">
        <f>[14]Soil_Composite!R46</f>
        <v>0</v>
      </c>
      <c r="N39" s="305">
        <f t="shared" si="5"/>
        <v>0.828235905307936</v>
      </c>
      <c r="R39" s="49"/>
      <c r="S39" s="303">
        <v>42521.02</v>
      </c>
      <c r="T39" s="303" t="s">
        <v>310</v>
      </c>
      <c r="U39" s="51" t="s">
        <v>119</v>
      </c>
      <c r="V39">
        <v>1.1145063022538575</v>
      </c>
      <c r="W39">
        <v>2.8477315563812069</v>
      </c>
      <c r="Y39">
        <v>1.8712199479521425</v>
      </c>
      <c r="AB39" s="313"/>
      <c r="AC39" s="313"/>
      <c r="AD39" s="228">
        <v>1.8763566561720966</v>
      </c>
      <c r="AE39" s="305">
        <v>0.828235905307936</v>
      </c>
    </row>
    <row r="40" spans="1:31" x14ac:dyDescent="0.2">
      <c r="B40" s="303">
        <v>42528.02</v>
      </c>
      <c r="C40" s="303" t="s">
        <v>311</v>
      </c>
      <c r="D40" s="51" t="s">
        <v>176</v>
      </c>
      <c r="K40" s="313"/>
      <c r="L40" s="313"/>
      <c r="M40" s="228">
        <f>[14]Soil_Composite!R47</f>
        <v>0</v>
      </c>
      <c r="N40" s="305">
        <f t="shared" si="5"/>
        <v>0</v>
      </c>
      <c r="R40" s="49"/>
      <c r="S40" s="303">
        <v>42528.02</v>
      </c>
      <c r="T40" s="303" t="s">
        <v>311</v>
      </c>
      <c r="U40" s="51" t="s">
        <v>176</v>
      </c>
      <c r="AB40" s="313"/>
      <c r="AC40" s="313"/>
      <c r="AD40" s="228">
        <v>8.1971287613042723</v>
      </c>
      <c r="AE40" s="305">
        <v>0</v>
      </c>
    </row>
    <row r="41" spans="1:31" x14ac:dyDescent="0.2">
      <c r="B41" s="303">
        <v>42535.02</v>
      </c>
      <c r="C41" s="303" t="s">
        <v>312</v>
      </c>
      <c r="D41" s="51" t="s">
        <v>177</v>
      </c>
      <c r="G41">
        <f>[14]Soil_Detailed!J45</f>
        <v>0.10146468867671039</v>
      </c>
      <c r="K41" s="313"/>
      <c r="L41" s="313"/>
      <c r="M41" s="228">
        <f>[14]Soil_Composite!R48</f>
        <v>0</v>
      </c>
      <c r="N41" s="305">
        <f t="shared" si="5"/>
        <v>8.1171750941368311E-3</v>
      </c>
      <c r="R41" s="49"/>
      <c r="S41" s="303">
        <v>42535.02</v>
      </c>
      <c r="T41" s="303" t="s">
        <v>312</v>
      </c>
      <c r="U41" s="51" t="s">
        <v>177</v>
      </c>
      <c r="X41">
        <v>0.10146468867671039</v>
      </c>
      <c r="AB41" s="313"/>
      <c r="AC41" s="313"/>
      <c r="AD41" s="228">
        <v>5.6986524061156141</v>
      </c>
      <c r="AE41" s="305">
        <v>8.1171750941368311E-3</v>
      </c>
    </row>
    <row r="42" spans="1:31" x14ac:dyDescent="0.2">
      <c r="B42" s="303">
        <v>42542.02</v>
      </c>
      <c r="C42" s="303" t="s">
        <v>313</v>
      </c>
      <c r="D42" s="51" t="s">
        <v>178</v>
      </c>
      <c r="I42">
        <f>[14]Soil_Detailed!J43</f>
        <v>1.2799834768724643</v>
      </c>
      <c r="J42">
        <f>[14]Soil_Detailed!J42</f>
        <v>0.72045651043824821</v>
      </c>
      <c r="K42" s="313"/>
      <c r="L42" s="313"/>
      <c r="M42" s="228">
        <f>[14]Soil_Composite!R49</f>
        <v>0</v>
      </c>
      <c r="N42" s="305">
        <f t="shared" si="5"/>
        <v>0.480105596954571</v>
      </c>
      <c r="R42" s="49"/>
      <c r="S42" s="303">
        <v>42542.02</v>
      </c>
      <c r="T42" s="303" t="s">
        <v>313</v>
      </c>
      <c r="U42" s="51" t="s">
        <v>178</v>
      </c>
      <c r="Z42">
        <v>1.2799834768724643</v>
      </c>
      <c r="AA42">
        <v>0.72045651043824821</v>
      </c>
      <c r="AB42" s="313"/>
      <c r="AC42" s="313"/>
      <c r="AD42" s="228">
        <v>2.7372475095066355</v>
      </c>
      <c r="AE42" s="305">
        <v>0.480105596954571</v>
      </c>
    </row>
    <row r="43" spans="1:31" x14ac:dyDescent="0.2">
      <c r="B43" s="303">
        <v>42549.02</v>
      </c>
      <c r="C43" s="303" t="s">
        <v>314</v>
      </c>
      <c r="D43" s="51" t="s">
        <v>179</v>
      </c>
      <c r="J43">
        <f>[14]Soil_Detailed!J53</f>
        <v>0.222253182633632</v>
      </c>
      <c r="K43" s="313"/>
      <c r="L43" s="313"/>
      <c r="M43" s="228">
        <f>[14]Soil_Composite!R50</f>
        <v>0</v>
      </c>
      <c r="N43" s="305">
        <f t="shared" si="5"/>
        <v>5.3340763832071682E-2</v>
      </c>
      <c r="R43" s="49"/>
      <c r="S43" s="303">
        <v>42549.02</v>
      </c>
      <c r="T43" s="303" t="s">
        <v>314</v>
      </c>
      <c r="U43" s="51" t="s">
        <v>179</v>
      </c>
      <c r="AA43">
        <v>0.222253182633632</v>
      </c>
      <c r="AB43" s="313"/>
      <c r="AC43" s="313"/>
      <c r="AD43" s="228">
        <v>2.3693944756009291</v>
      </c>
      <c r="AE43" s="305">
        <v>5.3340763832071682E-2</v>
      </c>
    </row>
    <row r="44" spans="1:31" x14ac:dyDescent="0.2">
      <c r="B44" s="303">
        <v>42556.02</v>
      </c>
      <c r="C44" s="303" t="s">
        <v>315</v>
      </c>
      <c r="D44" s="51" t="s">
        <v>180</v>
      </c>
      <c r="K44" s="313"/>
      <c r="L44" s="313"/>
      <c r="M44" s="228">
        <f>[14]Soil_Composite!R51</f>
        <v>0</v>
      </c>
      <c r="N44" s="305">
        <f t="shared" si="5"/>
        <v>0</v>
      </c>
      <c r="R44" s="49"/>
      <c r="S44" s="303">
        <v>42556.02</v>
      </c>
      <c r="T44" s="303" t="s">
        <v>315</v>
      </c>
      <c r="U44" s="51" t="s">
        <v>180</v>
      </c>
      <c r="AB44" s="313"/>
      <c r="AC44" s="313"/>
      <c r="AD44" s="228">
        <v>1.5868495293533809</v>
      </c>
      <c r="AE44" s="305">
        <v>0</v>
      </c>
    </row>
    <row r="45" spans="1:31" x14ac:dyDescent="0.2">
      <c r="B45" s="303">
        <v>42563.02</v>
      </c>
      <c r="C45" s="303" t="s">
        <v>316</v>
      </c>
      <c r="D45" s="51" t="s">
        <v>181</v>
      </c>
      <c r="E45">
        <f>[14]Soil_Detailed!J52</f>
        <v>0.53555023358404896</v>
      </c>
      <c r="F45">
        <f>[14]Soil_Detailed!J51</f>
        <v>0.46752935157634468</v>
      </c>
      <c r="G45">
        <f>[14]Soil_Detailed!J50</f>
        <v>2.2325443284331607E-2</v>
      </c>
      <c r="H45">
        <f>[14]Soil_Detailed!J49</f>
        <v>0.41152900271672532</v>
      </c>
      <c r="I45">
        <f>[14]Soil_Detailed!J54</f>
        <v>2.1343760011410517</v>
      </c>
      <c r="J45" s="315">
        <f>J43</f>
        <v>0.222253182633632</v>
      </c>
      <c r="K45" s="313"/>
      <c r="L45" s="313"/>
      <c r="M45" s="228">
        <f>[14]Soil_Composite!R52</f>
        <v>0</v>
      </c>
      <c r="N45" s="305">
        <f t="shared" si="5"/>
        <v>0.78221410275503345</v>
      </c>
      <c r="R45" s="49"/>
      <c r="S45" s="303">
        <v>42563.02</v>
      </c>
      <c r="T45" s="303" t="s">
        <v>316</v>
      </c>
      <c r="U45" s="51" t="s">
        <v>181</v>
      </c>
      <c r="V45">
        <v>0.53555023358404896</v>
      </c>
      <c r="W45">
        <v>0.46752935157634468</v>
      </c>
      <c r="X45">
        <v>2.2325443284331607E-2</v>
      </c>
      <c r="Y45">
        <v>0.41152900271672532</v>
      </c>
      <c r="Z45">
        <v>2.1343760011410517</v>
      </c>
      <c r="AA45" s="315">
        <v>0.222253182633632</v>
      </c>
      <c r="AB45" s="313"/>
      <c r="AC45" s="313"/>
      <c r="AD45" s="228">
        <v>1.311905359014532</v>
      </c>
      <c r="AE45" s="305">
        <v>0.78221410275503345</v>
      </c>
    </row>
    <row r="46" spans="1:31" x14ac:dyDescent="0.2">
      <c r="B46" s="303"/>
      <c r="C46" s="303"/>
      <c r="E46" s="49"/>
      <c r="F46" s="49"/>
      <c r="G46" s="49"/>
      <c r="H46" s="49"/>
      <c r="I46" s="49"/>
      <c r="J46" s="49"/>
      <c r="K46" s="49"/>
      <c r="L46" s="49"/>
      <c r="R46" s="49"/>
      <c r="S46" s="303"/>
      <c r="T46" s="303"/>
      <c r="U46" s="260"/>
      <c r="V46" s="49"/>
      <c r="W46" s="49"/>
      <c r="X46" s="49"/>
      <c r="Y46" s="49"/>
      <c r="Z46" s="49"/>
      <c r="AA46" s="49"/>
      <c r="AB46" s="49"/>
      <c r="AC46" s="49"/>
      <c r="AD46" s="49"/>
    </row>
    <row r="47" spans="1:31" s="50" customFormat="1" x14ac:dyDescent="0.2">
      <c r="A47" s="260"/>
      <c r="B47" s="318"/>
      <c r="C47" s="318"/>
      <c r="D47" s="299" t="s">
        <v>201</v>
      </c>
      <c r="E47" s="299">
        <v>13</v>
      </c>
      <c r="F47" s="299">
        <v>12</v>
      </c>
      <c r="G47" s="299">
        <v>11</v>
      </c>
      <c r="K47" s="252" t="s">
        <v>633</v>
      </c>
      <c r="L47" s="252" t="s">
        <v>637</v>
      </c>
      <c r="M47" s="299" t="s">
        <v>617</v>
      </c>
      <c r="R47" s="260"/>
      <c r="S47" s="318"/>
      <c r="T47" s="318"/>
      <c r="U47" s="299" t="s">
        <v>201</v>
      </c>
      <c r="V47" s="299">
        <v>13</v>
      </c>
      <c r="W47" s="299">
        <v>12</v>
      </c>
      <c r="X47" s="299">
        <v>11</v>
      </c>
      <c r="AB47" s="252" t="s">
        <v>633</v>
      </c>
      <c r="AC47" s="252" t="s">
        <v>637</v>
      </c>
      <c r="AD47" s="299" t="s">
        <v>617</v>
      </c>
    </row>
    <row r="48" spans="1:31" x14ac:dyDescent="0.2">
      <c r="B48" s="303"/>
      <c r="C48" s="303"/>
      <c r="D48" s="299" t="s">
        <v>721</v>
      </c>
      <c r="E48" s="49">
        <v>11</v>
      </c>
      <c r="F48" s="49">
        <v>10</v>
      </c>
      <c r="G48" s="49">
        <v>5</v>
      </c>
      <c r="K48" s="49" t="s">
        <v>598</v>
      </c>
      <c r="L48" s="49" t="s">
        <v>595</v>
      </c>
      <c r="M48" s="49">
        <f>SUM(E48:G48)</f>
        <v>26</v>
      </c>
      <c r="R48" s="49"/>
      <c r="S48" s="303"/>
      <c r="T48" s="303"/>
      <c r="U48" s="299" t="s">
        <v>723</v>
      </c>
      <c r="V48" s="49">
        <v>11</v>
      </c>
      <c r="W48" s="49">
        <v>10</v>
      </c>
      <c r="X48" s="49">
        <v>5</v>
      </c>
      <c r="AB48" s="49" t="s">
        <v>598</v>
      </c>
      <c r="AC48" s="49" t="s">
        <v>595</v>
      </c>
      <c r="AD48" s="49">
        <v>21</v>
      </c>
    </row>
    <row r="49" spans="1:31" x14ac:dyDescent="0.2">
      <c r="A49" s="299"/>
      <c r="B49" s="299"/>
      <c r="C49" s="299"/>
      <c r="D49" s="299" t="s">
        <v>726</v>
      </c>
      <c r="E49" s="301">
        <f>E48/$M$48</f>
        <v>0.42307692307692307</v>
      </c>
      <c r="F49" s="301">
        <f>F48/$M$48</f>
        <v>0.38461538461538464</v>
      </c>
      <c r="G49" s="301">
        <f>G48/$M$48</f>
        <v>0.19230769230769232</v>
      </c>
      <c r="J49" s="49"/>
      <c r="K49" s="301" t="s">
        <v>736</v>
      </c>
      <c r="L49" s="301" t="s">
        <v>737</v>
      </c>
      <c r="M49" s="49">
        <f>SUM(E49:F49)</f>
        <v>0.80769230769230771</v>
      </c>
      <c r="R49" s="299"/>
      <c r="S49" s="299"/>
      <c r="T49" s="299"/>
      <c r="U49" s="299" t="s">
        <v>726</v>
      </c>
      <c r="V49" s="301">
        <v>0.52380952380952384</v>
      </c>
      <c r="W49" s="301">
        <v>0.47619047619047616</v>
      </c>
      <c r="X49" s="301">
        <v>0.23809523809523808</v>
      </c>
      <c r="AA49" s="49"/>
      <c r="AB49" s="301" t="s">
        <v>736</v>
      </c>
      <c r="AC49" s="301" t="s">
        <v>737</v>
      </c>
      <c r="AD49" s="49">
        <v>1</v>
      </c>
    </row>
    <row r="50" spans="1:31" x14ac:dyDescent="0.2">
      <c r="A50" s="49" t="s">
        <v>276</v>
      </c>
      <c r="B50" s="302">
        <v>42459.02</v>
      </c>
      <c r="C50" s="303" t="s">
        <v>300</v>
      </c>
      <c r="D50" s="51"/>
      <c r="E50" s="320">
        <f>[14]Soil_Detailed!J57</f>
        <v>6.5160838969540905E-2</v>
      </c>
      <c r="F50" s="298">
        <f>[14]Soil_Detailed!J56</f>
        <v>5.291470436452558</v>
      </c>
      <c r="G50" s="298">
        <f>[14]Soil_Detailed!J55</f>
        <v>4.2553111539115847</v>
      </c>
      <c r="K50" s="313">
        <f>G50</f>
        <v>4.2553111539115847</v>
      </c>
      <c r="L50" s="313">
        <f>K10</f>
        <v>6.1036549976904671E-2</v>
      </c>
      <c r="M50" s="49" t="s">
        <v>730</v>
      </c>
      <c r="N50" s="305">
        <f t="shared" ref="N50:N65" si="6">G50*$G$49+F50*$F$49+E50*$E$49</f>
        <v>2.8810780524134021</v>
      </c>
      <c r="R50" s="49" t="s">
        <v>276</v>
      </c>
      <c r="S50" s="302">
        <v>42459.02</v>
      </c>
      <c r="T50" s="303" t="s">
        <v>300</v>
      </c>
      <c r="U50" s="51"/>
      <c r="V50" s="320">
        <v>6.5160838969540905E-2</v>
      </c>
      <c r="W50" s="298">
        <v>5.291470436452558</v>
      </c>
      <c r="X50" s="298">
        <v>4.2553111539115847</v>
      </c>
      <c r="AB50" s="313">
        <v>4.2553111539115847</v>
      </c>
      <c r="AC50" s="313">
        <v>6.1036549976904671E-2</v>
      </c>
      <c r="AD50" s="49" t="s">
        <v>730</v>
      </c>
      <c r="AE50" s="305">
        <v>3.5670490172737357</v>
      </c>
    </row>
    <row r="51" spans="1:31" x14ac:dyDescent="0.2">
      <c r="B51" s="303">
        <v>42465.02</v>
      </c>
      <c r="C51" s="303" t="s">
        <v>302</v>
      </c>
      <c r="D51" s="51" t="s">
        <v>21</v>
      </c>
      <c r="K51" s="313"/>
      <c r="L51" s="313"/>
      <c r="M51" s="228">
        <f>[14]Soil_Composite!R23</f>
        <v>6.4311329957869239</v>
      </c>
      <c r="N51" s="305">
        <f t="shared" si="6"/>
        <v>0</v>
      </c>
      <c r="R51" s="49"/>
      <c r="S51" s="303">
        <v>42465.02</v>
      </c>
      <c r="T51" s="303" t="s">
        <v>302</v>
      </c>
      <c r="U51" s="51" t="s">
        <v>21</v>
      </c>
      <c r="AB51" s="313"/>
      <c r="AC51" s="313"/>
      <c r="AD51" s="228">
        <v>6.5345160966768647</v>
      </c>
      <c r="AE51" s="305">
        <v>0</v>
      </c>
    </row>
    <row r="52" spans="1:31" x14ac:dyDescent="0.2">
      <c r="B52" s="321">
        <v>42474</v>
      </c>
      <c r="C52" s="303" t="s">
        <v>303</v>
      </c>
      <c r="D52" s="52" t="s">
        <v>8</v>
      </c>
      <c r="E52" s="322">
        <f>[14]Soil_Detailed!J58</f>
        <v>9.9598524777288748</v>
      </c>
      <c r="K52" s="313"/>
      <c r="L52" s="313"/>
      <c r="M52" s="228">
        <f>[14]Soil_Composite!R24</f>
        <v>3.0634798157432503</v>
      </c>
      <c r="N52" s="305">
        <f t="shared" si="6"/>
        <v>4.2137837405776004</v>
      </c>
      <c r="R52" s="49"/>
      <c r="S52" s="321">
        <v>42474</v>
      </c>
      <c r="T52" s="303" t="s">
        <v>303</v>
      </c>
      <c r="U52" s="52" t="s">
        <v>8</v>
      </c>
      <c r="V52" s="322">
        <v>9.9598524777288748</v>
      </c>
      <c r="AB52" s="313"/>
      <c r="AC52" s="313"/>
      <c r="AD52" s="228">
        <v>3.1599666834753055</v>
      </c>
      <c r="AE52" s="305">
        <v>5.2170655835722677</v>
      </c>
    </row>
    <row r="53" spans="1:31" x14ac:dyDescent="0.2">
      <c r="B53" s="321">
        <v>42479.02</v>
      </c>
      <c r="C53" s="303" t="s">
        <v>304</v>
      </c>
      <c r="D53" s="52" t="s">
        <v>9</v>
      </c>
      <c r="K53" s="313"/>
      <c r="L53" s="313"/>
      <c r="M53" s="228">
        <f>[14]Soil_Composite!R25</f>
        <v>4.2798846969182236</v>
      </c>
      <c r="N53" s="305">
        <f t="shared" si="6"/>
        <v>0</v>
      </c>
      <c r="R53" s="49"/>
      <c r="S53" s="321">
        <v>42479.02</v>
      </c>
      <c r="T53" s="303" t="s">
        <v>304</v>
      </c>
      <c r="U53" s="52" t="s">
        <v>9</v>
      </c>
      <c r="AB53" s="313"/>
      <c r="AC53" s="313"/>
      <c r="AD53" s="228">
        <v>4.2156270039737453</v>
      </c>
      <c r="AE53" s="305">
        <v>0</v>
      </c>
    </row>
    <row r="54" spans="1:31" x14ac:dyDescent="0.2">
      <c r="B54" s="321">
        <v>42486.02</v>
      </c>
      <c r="C54" s="303" t="s">
        <v>305</v>
      </c>
      <c r="D54" s="51" t="s">
        <v>22</v>
      </c>
      <c r="K54" s="313"/>
      <c r="L54" s="313"/>
      <c r="M54" s="228">
        <f>[14]Soil_Composite!R26</f>
        <v>5.5941240030976731</v>
      </c>
      <c r="N54" s="305">
        <f t="shared" si="6"/>
        <v>0</v>
      </c>
      <c r="R54" s="49"/>
      <c r="S54" s="321">
        <v>42486.02</v>
      </c>
      <c r="T54" s="303" t="s">
        <v>305</v>
      </c>
      <c r="U54" s="51" t="s">
        <v>22</v>
      </c>
      <c r="AB54" s="313"/>
      <c r="AC54" s="313"/>
      <c r="AD54" s="228">
        <v>5.6590057065271111</v>
      </c>
      <c r="AE54" s="305">
        <v>0</v>
      </c>
    </row>
    <row r="55" spans="1:31" x14ac:dyDescent="0.2">
      <c r="B55" s="321">
        <v>42493.02</v>
      </c>
      <c r="C55" s="303" t="s">
        <v>306</v>
      </c>
      <c r="D55" s="51" t="s">
        <v>23</v>
      </c>
      <c r="K55" s="313"/>
      <c r="L55" s="313"/>
      <c r="M55" s="228">
        <f>[14]Soil_Composite!R27</f>
        <v>2.7373968380024749</v>
      </c>
      <c r="N55" s="305">
        <f t="shared" si="6"/>
        <v>0</v>
      </c>
      <c r="R55" s="49"/>
      <c r="S55" s="321">
        <v>42493.02</v>
      </c>
      <c r="T55" s="303" t="s">
        <v>306</v>
      </c>
      <c r="U55" s="51" t="s">
        <v>23</v>
      </c>
      <c r="AB55" s="313"/>
      <c r="AC55" s="313"/>
      <c r="AD55" s="228">
        <v>2.76408391035792</v>
      </c>
      <c r="AE55" s="305">
        <v>0</v>
      </c>
    </row>
    <row r="56" spans="1:31" x14ac:dyDescent="0.2">
      <c r="B56" s="321">
        <v>42502</v>
      </c>
      <c r="C56" s="303" t="s">
        <v>307</v>
      </c>
      <c r="D56" s="51" t="s">
        <v>24</v>
      </c>
      <c r="G56">
        <f>[14]Soil_Detailed!J59</f>
        <v>0.68734057660385717</v>
      </c>
      <c r="K56" s="313"/>
      <c r="L56" s="313"/>
      <c r="M56" s="228">
        <f>[14]Soil_Composite!R28</f>
        <v>2.1330035542610131</v>
      </c>
      <c r="N56" s="305">
        <f t="shared" si="6"/>
        <v>0.13218088011612639</v>
      </c>
      <c r="R56" s="49"/>
      <c r="S56" s="321">
        <v>42502</v>
      </c>
      <c r="T56" s="303" t="s">
        <v>307</v>
      </c>
      <c r="U56" s="51" t="s">
        <v>24</v>
      </c>
      <c r="X56">
        <v>0.68734057660385717</v>
      </c>
      <c r="AB56" s="313"/>
      <c r="AC56" s="313"/>
      <c r="AD56" s="228">
        <v>2.1038123097257184</v>
      </c>
      <c r="AE56" s="305">
        <v>0.16365251823901361</v>
      </c>
    </row>
    <row r="57" spans="1:31" x14ac:dyDescent="0.2">
      <c r="B57" s="321">
        <v>42507.02</v>
      </c>
      <c r="C57" s="303" t="s">
        <v>308</v>
      </c>
      <c r="D57" s="51" t="s">
        <v>10</v>
      </c>
      <c r="K57" s="313"/>
      <c r="L57" s="313"/>
      <c r="M57" s="228">
        <f>[14]Soil_Composite!R29</f>
        <v>1.499969859384902</v>
      </c>
      <c r="N57" s="305">
        <f t="shared" si="6"/>
        <v>0</v>
      </c>
      <c r="R57" s="49"/>
      <c r="S57" s="321">
        <v>42507.02</v>
      </c>
      <c r="T57" s="303" t="s">
        <v>308</v>
      </c>
      <c r="U57" s="51" t="s">
        <v>10</v>
      </c>
      <c r="AB57" s="313"/>
      <c r="AC57" s="313"/>
      <c r="AD57" s="228">
        <v>1.5254541300039282</v>
      </c>
      <c r="AE57" s="305">
        <v>0</v>
      </c>
    </row>
    <row r="58" spans="1:31" x14ac:dyDescent="0.2">
      <c r="B58" s="303">
        <v>42514.02</v>
      </c>
      <c r="C58" s="303" t="s">
        <v>309</v>
      </c>
      <c r="D58" s="51" t="s">
        <v>11</v>
      </c>
      <c r="K58" s="313"/>
      <c r="L58" s="313"/>
      <c r="M58" s="228">
        <f>[14]Soil_Composite!R30</f>
        <v>1.0689874561801433</v>
      </c>
      <c r="N58" s="305">
        <f t="shared" si="6"/>
        <v>0</v>
      </c>
      <c r="R58" s="49"/>
      <c r="S58" s="303">
        <v>42514.02</v>
      </c>
      <c r="T58" s="303" t="s">
        <v>309</v>
      </c>
      <c r="U58" s="51" t="s">
        <v>11</v>
      </c>
      <c r="AB58" s="313"/>
      <c r="AC58" s="313"/>
      <c r="AD58" s="228">
        <v>1.0676245984997217</v>
      </c>
      <c r="AE58" s="305">
        <v>0</v>
      </c>
    </row>
    <row r="59" spans="1:31" x14ac:dyDescent="0.2">
      <c r="B59" s="303">
        <v>42521.02</v>
      </c>
      <c r="C59" s="303" t="s">
        <v>310</v>
      </c>
      <c r="D59" s="51" t="s">
        <v>12</v>
      </c>
      <c r="E59">
        <f>[14]Soil_Detailed!J61</f>
        <v>6.3004998285280207</v>
      </c>
      <c r="F59">
        <f>[14]Soil_Detailed!J60</f>
        <v>1.3952170125777958</v>
      </c>
      <c r="K59" s="313"/>
      <c r="L59" s="313"/>
      <c r="M59" s="228">
        <f>[14]Soil_Composite!R31</f>
        <v>1.0193399498276818</v>
      </c>
      <c r="N59" s="305">
        <f t="shared" si="6"/>
        <v>3.2022180092148536</v>
      </c>
      <c r="R59" s="49"/>
      <c r="S59" s="303">
        <v>42521.02</v>
      </c>
      <c r="T59" s="303" t="s">
        <v>310</v>
      </c>
      <c r="U59" s="51" t="s">
        <v>12</v>
      </c>
      <c r="V59">
        <v>6.3004998285280207</v>
      </c>
      <c r="W59">
        <v>1.3952170125777958</v>
      </c>
      <c r="AB59" s="313"/>
      <c r="AC59" s="313"/>
      <c r="AD59" s="228">
        <v>1.0374518177054053</v>
      </c>
      <c r="AE59" s="305">
        <v>3.9646508685517237</v>
      </c>
    </row>
    <row r="60" spans="1:31" x14ac:dyDescent="0.2">
      <c r="B60" s="303">
        <v>42528.02</v>
      </c>
      <c r="C60" s="303" t="s">
        <v>311</v>
      </c>
      <c r="D60" s="51" t="s">
        <v>164</v>
      </c>
      <c r="K60" s="313"/>
      <c r="L60" s="313"/>
      <c r="M60" s="228">
        <f>[14]Soil_Composite!R32</f>
        <v>0</v>
      </c>
      <c r="N60" s="305">
        <f t="shared" si="6"/>
        <v>0</v>
      </c>
      <c r="R60" s="49"/>
      <c r="S60" s="303">
        <v>42528.02</v>
      </c>
      <c r="T60" s="303" t="s">
        <v>311</v>
      </c>
      <c r="U60" s="51" t="s">
        <v>164</v>
      </c>
      <c r="AB60" s="313"/>
      <c r="AC60" s="313"/>
      <c r="AD60" s="228">
        <v>1.851077179543845</v>
      </c>
      <c r="AE60" s="305">
        <v>0</v>
      </c>
    </row>
    <row r="61" spans="1:31" x14ac:dyDescent="0.2">
      <c r="B61" s="303">
        <v>42535.02</v>
      </c>
      <c r="C61" s="303" t="s">
        <v>312</v>
      </c>
      <c r="D61" s="51" t="s">
        <v>165</v>
      </c>
      <c r="K61" s="313"/>
      <c r="L61" s="313"/>
      <c r="M61" s="228">
        <f>[14]Soil_Composite!R33</f>
        <v>0</v>
      </c>
      <c r="N61" s="305">
        <f t="shared" si="6"/>
        <v>0</v>
      </c>
      <c r="R61" s="49"/>
      <c r="S61" s="303">
        <v>42535.02</v>
      </c>
      <c r="T61" s="303" t="s">
        <v>312</v>
      </c>
      <c r="U61" s="51" t="s">
        <v>165</v>
      </c>
      <c r="AB61" s="313"/>
      <c r="AC61" s="313"/>
      <c r="AD61" s="228">
        <v>1.6009073378368643</v>
      </c>
      <c r="AE61" s="305">
        <v>0</v>
      </c>
    </row>
    <row r="62" spans="1:31" x14ac:dyDescent="0.2">
      <c r="B62" s="303">
        <v>42542.02</v>
      </c>
      <c r="C62" s="303" t="s">
        <v>313</v>
      </c>
      <c r="D62" s="51" t="s">
        <v>166</v>
      </c>
      <c r="K62" s="313"/>
      <c r="L62" s="313"/>
      <c r="M62" s="228">
        <f>[14]Soil_Composite!R34</f>
        <v>0</v>
      </c>
      <c r="N62" s="305">
        <f t="shared" si="6"/>
        <v>0</v>
      </c>
      <c r="R62" s="49"/>
      <c r="S62" s="303">
        <v>42542.02</v>
      </c>
      <c r="T62" s="303" t="s">
        <v>313</v>
      </c>
      <c r="U62" s="51" t="s">
        <v>166</v>
      </c>
      <c r="AB62" s="313"/>
      <c r="AC62" s="313"/>
      <c r="AD62" s="228">
        <v>2.796793089552009</v>
      </c>
      <c r="AE62" s="305">
        <v>0</v>
      </c>
    </row>
    <row r="63" spans="1:31" x14ac:dyDescent="0.2">
      <c r="B63" s="303">
        <v>42549.02</v>
      </c>
      <c r="C63" s="303" t="s">
        <v>314</v>
      </c>
      <c r="D63" s="51" t="s">
        <v>167</v>
      </c>
      <c r="G63">
        <f>[14]Soil_Detailed!J62</f>
        <v>0.2052335183380106</v>
      </c>
      <c r="K63" s="313"/>
      <c r="L63" s="313"/>
      <c r="M63" s="228">
        <f>[14]Soil_Composite!R35</f>
        <v>0</v>
      </c>
      <c r="N63" s="305">
        <f t="shared" si="6"/>
        <v>3.9467984295771273E-2</v>
      </c>
      <c r="R63" s="49"/>
      <c r="S63" s="303">
        <v>42549.02</v>
      </c>
      <c r="T63" s="303" t="s">
        <v>314</v>
      </c>
      <c r="U63" s="51" t="s">
        <v>167</v>
      </c>
      <c r="X63">
        <v>0.2052335183380106</v>
      </c>
      <c r="AB63" s="313"/>
      <c r="AC63" s="313"/>
      <c r="AD63" s="228">
        <v>1.1937055417154974</v>
      </c>
      <c r="AE63" s="305">
        <v>4.8865123413812044E-2</v>
      </c>
    </row>
    <row r="64" spans="1:31" x14ac:dyDescent="0.2">
      <c r="B64" s="303">
        <v>42556.02</v>
      </c>
      <c r="C64" s="303" t="s">
        <v>315</v>
      </c>
      <c r="D64" s="51" t="s">
        <v>168</v>
      </c>
      <c r="K64" s="313"/>
      <c r="L64" s="313"/>
      <c r="M64" s="228">
        <f>[14]Soil_Composite!R36</f>
        <v>0</v>
      </c>
      <c r="N64" s="305">
        <f t="shared" si="6"/>
        <v>0</v>
      </c>
      <c r="R64" s="49"/>
      <c r="S64" s="303">
        <v>42556.02</v>
      </c>
      <c r="T64" s="303" t="s">
        <v>315</v>
      </c>
      <c r="U64" s="51" t="s">
        <v>168</v>
      </c>
      <c r="AB64" s="313"/>
      <c r="AC64" s="313"/>
      <c r="AD64" s="228">
        <v>1.0220274541954517</v>
      </c>
      <c r="AE64" s="305">
        <v>0</v>
      </c>
    </row>
    <row r="65" spans="2:31" x14ac:dyDescent="0.2">
      <c r="B65" s="303">
        <v>42563.02</v>
      </c>
      <c r="C65" s="303" t="s">
        <v>316</v>
      </c>
      <c r="D65" s="51" t="s">
        <v>169</v>
      </c>
      <c r="E65">
        <f>[14]Soil_Detailed!J64</f>
        <v>0.74503157521140406</v>
      </c>
      <c r="F65">
        <f>[14]Soil_Detailed!J63</f>
        <v>0.54992963570135955</v>
      </c>
      <c r="G65" s="315">
        <f>G63</f>
        <v>0.2052335183380106</v>
      </c>
      <c r="K65" s="313"/>
      <c r="L65" s="313"/>
      <c r="M65" s="228">
        <f>[14]Soil_Composite!R37</f>
        <v>0</v>
      </c>
      <c r="N65" s="305">
        <f t="shared" si="6"/>
        <v>0.56618504907804201</v>
      </c>
      <c r="R65" s="49"/>
      <c r="S65" s="303">
        <v>42563.02</v>
      </c>
      <c r="T65" s="303" t="s">
        <v>316</v>
      </c>
      <c r="U65" s="51" t="s">
        <v>169</v>
      </c>
      <c r="V65">
        <v>0.74503157521140406</v>
      </c>
      <c r="W65">
        <v>0.54992963570135955</v>
      </c>
      <c r="X65" s="315">
        <v>0.2052335183380106</v>
      </c>
      <c r="AB65" s="313"/>
      <c r="AC65" s="313"/>
      <c r="AD65" s="228">
        <v>1.1610021513926232</v>
      </c>
      <c r="AE65" s="305">
        <v>0.7009910131442425</v>
      </c>
    </row>
    <row r="66" spans="2:31" x14ac:dyDescent="0.2">
      <c r="M66" s="228"/>
    </row>
    <row r="71" spans="2:31" x14ac:dyDescent="0.2">
      <c r="B71" s="323" t="s">
        <v>738</v>
      </c>
    </row>
    <row r="72" spans="2:31" x14ac:dyDescent="0.2">
      <c r="B72" s="323" t="s">
        <v>739</v>
      </c>
    </row>
    <row r="73" spans="2:31" x14ac:dyDescent="0.2">
      <c r="B73" s="324">
        <f>AVERAGE(G17,I17,I25,G25)</f>
        <v>4.5784745552245175E-2</v>
      </c>
    </row>
    <row r="74" spans="2:31" x14ac:dyDescent="0.2">
      <c r="B74" s="323" t="s">
        <v>740</v>
      </c>
    </row>
    <row r="75" spans="2:31" x14ac:dyDescent="0.25">
      <c r="B75" s="323">
        <f>STDEVA(G17,I17,I25,G25)</f>
        <v>1.2348160295917813E-2</v>
      </c>
    </row>
    <row r="76" spans="2:31" ht="45" x14ac:dyDescent="0.25">
      <c r="B76" s="217" t="s">
        <v>741</v>
      </c>
    </row>
    <row r="77" spans="2:31" x14ac:dyDescent="0.25">
      <c r="B77" s="325">
        <v>3.3902809999999999E-2</v>
      </c>
    </row>
    <row r="78" spans="2:31" x14ac:dyDescent="0.25">
      <c r="B78" s="326">
        <v>2.906301E-2</v>
      </c>
    </row>
    <row r="79" spans="2:31" x14ac:dyDescent="0.25">
      <c r="B79" s="327">
        <v>4.7378990000000003E-2</v>
      </c>
    </row>
    <row r="80" spans="2:31" x14ac:dyDescent="0.25">
      <c r="B80" s="326">
        <v>2.058016E-2</v>
      </c>
    </row>
    <row r="81" spans="2:2" x14ac:dyDescent="0.25">
      <c r="B81" s="326">
        <v>5.8765919999999999E-2</v>
      </c>
    </row>
    <row r="82" spans="2:2" x14ac:dyDescent="0.25">
      <c r="B82" s="326">
        <v>6.333722E-2</v>
      </c>
    </row>
    <row r="83" spans="2:2" x14ac:dyDescent="0.25">
      <c r="B83" s="326">
        <v>3.770577E-2</v>
      </c>
    </row>
    <row r="84" spans="2:2" x14ac:dyDescent="0.25">
      <c r="B84" s="326">
        <v>3.7831299999999998E-2</v>
      </c>
    </row>
    <row r="85" spans="2:2" x14ac:dyDescent="0.25">
      <c r="B85" s="326">
        <v>3.3803399999999997E-2</v>
      </c>
    </row>
    <row r="86" spans="2:2" x14ac:dyDescent="0.25">
      <c r="B86" s="326">
        <v>6.603328E-2</v>
      </c>
    </row>
    <row r="87" spans="2:2" x14ac:dyDescent="0.25">
      <c r="B87" s="326">
        <v>5.1178920000000003E-2</v>
      </c>
    </row>
    <row r="88" spans="2:2" x14ac:dyDescent="0.25">
      <c r="B88" s="326">
        <v>4.8228760000000002E-2</v>
      </c>
    </row>
    <row r="89" spans="2:2" x14ac:dyDescent="0.25">
      <c r="B89" s="326">
        <v>4.9402109999999999E-2</v>
      </c>
    </row>
    <row r="90" spans="2:2" x14ac:dyDescent="0.25">
      <c r="B90" s="326">
        <v>3.9429890000000002E-2</v>
      </c>
    </row>
  </sheetData>
  <mergeCells count="2">
    <mergeCell ref="D4:N4"/>
    <mergeCell ref="U4:A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20"/>
  <sheetViews>
    <sheetView topLeftCell="A4" zoomScale="70" zoomScaleNormal="70" zoomScalePageLayoutView="70" workbookViewId="0">
      <selection activeCell="J53" sqref="J53"/>
    </sheetView>
  </sheetViews>
  <sheetFormatPr baseColWidth="10" defaultColWidth="9.140625" defaultRowHeight="15" x14ac:dyDescent="0.25"/>
  <cols>
    <col min="1" max="1" width="24.5703125" customWidth="1"/>
    <col min="2" max="2" width="17.85546875" customWidth="1"/>
    <col min="3" max="3" width="13.140625" bestFit="1" customWidth="1"/>
    <col min="4" max="4" width="13.85546875" bestFit="1" customWidth="1"/>
    <col min="5" max="5" width="12.140625" bestFit="1" customWidth="1"/>
    <col min="6" max="6" width="11.42578125" customWidth="1"/>
    <col min="7" max="7" width="15.140625" bestFit="1" customWidth="1"/>
    <col min="8" max="8" width="12.85546875" customWidth="1"/>
    <col min="9" max="9" width="12" style="49" customWidth="1"/>
    <col min="10" max="10" width="15.85546875" style="49" bestFit="1" customWidth="1"/>
    <col min="12" max="15" width="12.42578125" customWidth="1"/>
    <col min="16" max="16" width="14.140625" customWidth="1"/>
    <col min="17" max="17" width="14" customWidth="1"/>
    <col min="18" max="18" width="14.85546875" customWidth="1"/>
    <col min="19" max="19" width="15.42578125" customWidth="1"/>
    <col min="20" max="20" width="11.85546875" customWidth="1"/>
    <col min="21" max="21" width="12.85546875" customWidth="1"/>
    <col min="22" max="22" width="10.85546875" customWidth="1"/>
    <col min="23" max="23" width="13.140625" bestFit="1" customWidth="1"/>
    <col min="24" max="26" width="13.140625" customWidth="1"/>
    <col min="27" max="27" width="11.85546875" customWidth="1"/>
    <col min="28" max="28" width="17.140625" customWidth="1"/>
    <col min="29" max="29" width="12.42578125" customWidth="1"/>
    <col min="30" max="33" width="17.140625" customWidth="1"/>
    <col min="34" max="34" width="11" customWidth="1"/>
    <col min="35" max="36" width="24.42578125" bestFit="1" customWidth="1"/>
    <col min="37" max="37" width="13.85546875" bestFit="1" customWidth="1"/>
    <col min="38" max="40" width="13.85546875" customWidth="1"/>
    <col min="41" max="41" width="16.140625" customWidth="1"/>
    <col min="42" max="42" width="22.85546875" customWidth="1"/>
    <col min="43" max="43" width="27.85546875" customWidth="1"/>
    <col min="44" max="44" width="13.42578125" bestFit="1" customWidth="1"/>
    <col min="45" max="46" width="12.85546875" bestFit="1" customWidth="1"/>
    <col min="47" max="47" width="4.140625" customWidth="1"/>
    <col min="48" max="48" width="5" customWidth="1"/>
    <col min="49" max="49" width="25.140625" bestFit="1" customWidth="1"/>
    <col min="50" max="52" width="17" customWidth="1"/>
    <col min="53" max="53" width="15.42578125" customWidth="1"/>
  </cols>
  <sheetData>
    <row r="1" spans="1:21" x14ac:dyDescent="0.25">
      <c r="A1" s="541" t="s">
        <v>771</v>
      </c>
      <c r="B1" s="447"/>
      <c r="C1" s="536" t="s">
        <v>770</v>
      </c>
      <c r="D1" s="537"/>
      <c r="E1" s="448"/>
      <c r="F1" s="448"/>
      <c r="G1" s="448"/>
      <c r="H1" s="449"/>
      <c r="I1" s="449"/>
      <c r="J1" s="448"/>
      <c r="K1" s="448"/>
      <c r="L1" s="448"/>
      <c r="M1" s="448"/>
      <c r="N1" s="448"/>
      <c r="O1" s="448"/>
      <c r="P1" s="448"/>
      <c r="Q1" s="448"/>
      <c r="R1" s="448"/>
      <c r="S1" s="448"/>
      <c r="T1" s="448"/>
      <c r="U1" s="448"/>
    </row>
    <row r="2" spans="1:21" ht="15.75" thickBot="1" x14ac:dyDescent="0.3">
      <c r="A2" s="542"/>
      <c r="B2" s="451" t="s">
        <v>744</v>
      </c>
      <c r="C2" s="451" t="s">
        <v>747</v>
      </c>
      <c r="D2" s="452" t="s">
        <v>748</v>
      </c>
      <c r="E2" s="448"/>
      <c r="F2" s="448"/>
      <c r="G2" s="448"/>
      <c r="H2" s="448"/>
      <c r="I2" s="448"/>
      <c r="J2" s="449"/>
      <c r="K2" s="448"/>
      <c r="L2" s="448"/>
      <c r="M2" s="448"/>
      <c r="N2" s="448"/>
      <c r="O2" s="448"/>
      <c r="P2" s="448"/>
      <c r="Q2" s="448"/>
      <c r="R2" s="448"/>
      <c r="S2" s="448"/>
      <c r="T2" s="448"/>
      <c r="U2" s="448"/>
    </row>
    <row r="3" spans="1:21" x14ac:dyDescent="0.2">
      <c r="A3" s="453" t="s">
        <v>745</v>
      </c>
      <c r="B3" s="454">
        <v>915</v>
      </c>
      <c r="C3" s="454" t="s">
        <v>210</v>
      </c>
      <c r="D3" s="455">
        <v>2.1</v>
      </c>
      <c r="E3" s="448"/>
      <c r="F3" s="448"/>
      <c r="G3" s="448"/>
      <c r="H3" s="448"/>
      <c r="I3" s="449"/>
      <c r="J3" s="449"/>
      <c r="K3" s="448"/>
      <c r="L3" s="448"/>
      <c r="M3" s="448"/>
      <c r="N3" s="448"/>
      <c r="O3" s="448"/>
      <c r="P3" s="448"/>
      <c r="Q3" s="448"/>
      <c r="R3" s="448"/>
      <c r="S3" s="448"/>
      <c r="T3" s="448"/>
      <c r="U3" s="448"/>
    </row>
    <row r="4" spans="1:21" ht="15.95" thickBot="1" x14ac:dyDescent="0.25">
      <c r="A4" s="456" t="s">
        <v>746</v>
      </c>
      <c r="B4" s="457">
        <v>960</v>
      </c>
      <c r="C4" s="457">
        <v>0.6</v>
      </c>
      <c r="D4" s="458">
        <v>2</v>
      </c>
      <c r="E4" s="448"/>
      <c r="F4" s="448"/>
      <c r="G4" s="448"/>
      <c r="H4" s="448"/>
      <c r="I4" s="449"/>
      <c r="J4" s="449"/>
      <c r="K4" s="448"/>
      <c r="L4" s="448"/>
      <c r="M4" s="448"/>
      <c r="N4" s="448"/>
      <c r="O4" s="448"/>
      <c r="P4" s="448"/>
      <c r="Q4" s="448"/>
      <c r="R4" s="448"/>
      <c r="S4" s="448"/>
      <c r="T4" s="448"/>
      <c r="U4" s="448"/>
    </row>
    <row r="5" spans="1:21" ht="15.95" thickBot="1" x14ac:dyDescent="0.25">
      <c r="A5" s="453"/>
      <c r="B5" s="459"/>
      <c r="C5" s="459"/>
      <c r="D5" s="454"/>
      <c r="E5" s="454"/>
      <c r="F5" s="448"/>
      <c r="G5" s="448"/>
      <c r="H5" s="448"/>
      <c r="I5" s="449"/>
      <c r="J5" s="449"/>
      <c r="K5" s="449"/>
      <c r="L5" s="448"/>
      <c r="M5" s="448"/>
      <c r="N5" s="448"/>
      <c r="O5" s="448"/>
      <c r="P5" s="448"/>
      <c r="Q5" s="448"/>
      <c r="R5" s="448"/>
      <c r="S5" s="448"/>
      <c r="T5" s="448"/>
      <c r="U5" s="448"/>
    </row>
    <row r="6" spans="1:21" x14ac:dyDescent="0.2">
      <c r="A6" s="460" t="s">
        <v>818</v>
      </c>
      <c r="B6" s="447"/>
      <c r="C6" s="461"/>
      <c r="D6" s="449"/>
      <c r="E6" s="448"/>
      <c r="F6" s="448"/>
      <c r="G6" s="448"/>
      <c r="H6" s="449"/>
      <c r="I6" s="449"/>
      <c r="J6" s="449"/>
      <c r="K6" s="448"/>
      <c r="L6" s="448"/>
      <c r="M6" s="448"/>
      <c r="N6" s="448"/>
      <c r="O6" s="448"/>
      <c r="P6" s="448"/>
      <c r="Q6" s="448"/>
      <c r="R6" s="448"/>
      <c r="S6" s="448"/>
      <c r="T6" s="448"/>
      <c r="U6" s="448"/>
    </row>
    <row r="7" spans="1:21" ht="15.95" thickBot="1" x14ac:dyDescent="0.25">
      <c r="A7" s="376" t="s">
        <v>595</v>
      </c>
      <c r="B7" s="377" t="s">
        <v>601</v>
      </c>
      <c r="C7" s="380">
        <f>IF(B7="MG",$D$4,$D$3)</f>
        <v>2</v>
      </c>
      <c r="D7" s="449"/>
      <c r="E7" s="448"/>
      <c r="F7" s="448"/>
      <c r="G7" s="448"/>
      <c r="H7" s="449"/>
      <c r="I7" s="449"/>
      <c r="J7" s="449"/>
      <c r="K7" s="448"/>
      <c r="L7" s="448"/>
      <c r="M7" s="448"/>
      <c r="N7" s="448"/>
      <c r="O7" s="448"/>
      <c r="P7" s="448"/>
      <c r="Q7" s="448"/>
      <c r="R7" s="448"/>
      <c r="S7" s="448"/>
      <c r="T7" s="448"/>
      <c r="U7" s="448"/>
    </row>
    <row r="8" spans="1:21" ht="15.75" customHeight="1" thickBot="1" x14ac:dyDescent="0.25">
      <c r="A8" s="448"/>
      <c r="B8" s="448"/>
      <c r="C8" s="448"/>
      <c r="D8" s="448"/>
      <c r="E8" s="448"/>
      <c r="F8" s="448"/>
      <c r="G8" s="448"/>
      <c r="H8" s="448"/>
      <c r="I8" s="449"/>
      <c r="J8" s="449"/>
      <c r="K8" s="449"/>
      <c r="L8" s="448"/>
      <c r="M8" s="448"/>
      <c r="N8" s="448"/>
      <c r="O8" s="448"/>
      <c r="P8" s="448"/>
      <c r="Q8" s="448"/>
      <c r="R8" s="448"/>
      <c r="S8" s="448"/>
      <c r="T8" s="448"/>
      <c r="U8" s="448"/>
    </row>
    <row r="9" spans="1:21" x14ac:dyDescent="0.2">
      <c r="A9" s="460" t="s">
        <v>819</v>
      </c>
      <c r="B9" s="447"/>
      <c r="C9" s="461"/>
      <c r="D9" s="449"/>
      <c r="E9" s="448"/>
      <c r="F9" s="448"/>
      <c r="G9" s="448"/>
      <c r="H9" s="449"/>
      <c r="I9" s="449"/>
      <c r="J9" s="449"/>
      <c r="K9" s="448"/>
      <c r="L9" s="448"/>
      <c r="M9" s="448"/>
      <c r="N9" s="448"/>
      <c r="O9" s="448"/>
      <c r="P9" s="448"/>
      <c r="Q9" s="448"/>
      <c r="R9" s="448"/>
      <c r="S9" s="448"/>
      <c r="T9" s="448"/>
      <c r="U9" s="448"/>
    </row>
    <row r="10" spans="1:21" x14ac:dyDescent="0.2">
      <c r="A10" s="374" t="s">
        <v>598</v>
      </c>
      <c r="B10" s="375" t="s">
        <v>601</v>
      </c>
      <c r="C10" s="379">
        <f>IF(B10="MG",$C$4,$D$4)</f>
        <v>0.6</v>
      </c>
      <c r="D10" s="449"/>
      <c r="E10" s="448"/>
      <c r="F10" s="448"/>
      <c r="G10" s="448"/>
      <c r="H10" s="449"/>
      <c r="I10" s="449"/>
      <c r="J10" s="449"/>
      <c r="K10" s="448"/>
      <c r="L10" s="448"/>
      <c r="M10" s="448"/>
      <c r="N10" s="448"/>
      <c r="O10" s="448"/>
      <c r="P10" s="448"/>
      <c r="Q10" s="448"/>
      <c r="R10" s="448"/>
      <c r="S10" s="448"/>
      <c r="T10" s="448"/>
      <c r="U10" s="448"/>
    </row>
    <row r="11" spans="1:21" x14ac:dyDescent="0.2">
      <c r="A11" s="374" t="s">
        <v>630</v>
      </c>
      <c r="B11" s="375" t="s">
        <v>820</v>
      </c>
      <c r="C11" s="379">
        <f>IF(B11="MG",$C$4,$D$4)</f>
        <v>2</v>
      </c>
      <c r="D11" s="449"/>
      <c r="E11" s="448"/>
      <c r="F11" s="448"/>
      <c r="G11" s="448"/>
      <c r="H11" s="449"/>
      <c r="I11" s="449"/>
      <c r="J11" s="449"/>
      <c r="K11" s="448"/>
      <c r="L11" s="448"/>
      <c r="M11" s="448"/>
      <c r="N11" s="448"/>
      <c r="O11" s="448"/>
      <c r="P11" s="448"/>
      <c r="Q11" s="448"/>
      <c r="R11" s="448"/>
      <c r="S11" s="448"/>
      <c r="T11" s="448"/>
      <c r="U11" s="448"/>
    </row>
    <row r="12" spans="1:21" x14ac:dyDescent="0.2">
      <c r="A12" s="448"/>
      <c r="B12" s="448"/>
      <c r="C12" s="448"/>
      <c r="D12" s="448"/>
      <c r="E12" s="448"/>
      <c r="F12" s="448"/>
      <c r="G12" s="448"/>
      <c r="H12" s="448"/>
      <c r="I12" s="449"/>
      <c r="J12" s="449"/>
      <c r="K12" s="449"/>
      <c r="L12" s="448"/>
      <c r="M12" s="448"/>
      <c r="N12" s="448"/>
      <c r="O12" s="448"/>
      <c r="P12" s="448"/>
      <c r="Q12" s="448"/>
      <c r="R12" s="448"/>
      <c r="S12" s="448"/>
      <c r="T12" s="448"/>
      <c r="U12" s="448"/>
    </row>
    <row r="13" spans="1:21" ht="15.95" thickBot="1" x14ac:dyDescent="0.25">
      <c r="A13" s="448"/>
      <c r="B13" s="448"/>
      <c r="C13" s="448"/>
      <c r="D13" s="448"/>
      <c r="E13" s="448"/>
      <c r="F13" s="448"/>
      <c r="G13" s="448"/>
      <c r="H13" s="448"/>
      <c r="I13" s="449"/>
      <c r="J13" s="449"/>
      <c r="K13" s="449"/>
      <c r="L13" s="448"/>
      <c r="M13" s="448"/>
      <c r="N13" s="448"/>
      <c r="O13" s="448"/>
      <c r="P13" s="448"/>
      <c r="Q13" s="448"/>
      <c r="R13" s="448"/>
      <c r="S13" s="448"/>
      <c r="T13" s="448"/>
      <c r="U13" s="448"/>
    </row>
    <row r="14" spans="1:21" ht="15.95" thickBot="1" x14ac:dyDescent="0.25">
      <c r="A14" s="462" t="s">
        <v>774</v>
      </c>
      <c r="B14" s="463"/>
      <c r="C14" s="464"/>
      <c r="D14" s="448"/>
      <c r="E14" s="448"/>
      <c r="F14" s="448"/>
      <c r="G14" s="448"/>
      <c r="H14" s="448"/>
      <c r="I14" s="449"/>
      <c r="J14" s="449"/>
      <c r="K14" s="449"/>
      <c r="L14" s="448"/>
      <c r="M14" s="448"/>
      <c r="N14" s="448"/>
      <c r="O14" s="448"/>
      <c r="P14" s="448"/>
      <c r="Q14" s="448"/>
      <c r="R14" s="448"/>
      <c r="S14" s="448"/>
      <c r="T14" s="448"/>
      <c r="U14" s="448"/>
    </row>
    <row r="15" spans="1:21" x14ac:dyDescent="0.25">
      <c r="A15" s="465" t="s">
        <v>564</v>
      </c>
      <c r="B15" s="454">
        <f>0.98*10^6</f>
        <v>980000</v>
      </c>
      <c r="C15" s="466" t="s">
        <v>565</v>
      </c>
      <c r="D15" s="448"/>
      <c r="E15" s="448"/>
      <c r="F15" s="448"/>
      <c r="G15" s="448"/>
      <c r="H15" s="448"/>
      <c r="I15" s="449"/>
      <c r="J15" s="449"/>
      <c r="K15" s="449"/>
      <c r="L15" s="448"/>
      <c r="M15" s="448"/>
      <c r="N15" s="448"/>
      <c r="O15" s="448"/>
      <c r="P15" s="448"/>
      <c r="Q15" s="448"/>
      <c r="R15" s="448"/>
      <c r="S15" s="448"/>
      <c r="T15" s="448"/>
      <c r="U15" s="448"/>
    </row>
    <row r="16" spans="1:21" ht="15.95" thickBot="1" x14ac:dyDescent="0.25">
      <c r="A16" s="456" t="s">
        <v>772</v>
      </c>
      <c r="B16" s="457">
        <v>0.01</v>
      </c>
      <c r="C16" s="452" t="s">
        <v>773</v>
      </c>
      <c r="D16" s="448"/>
      <c r="E16" s="448"/>
      <c r="F16" s="448"/>
      <c r="G16" s="448"/>
      <c r="H16" s="448"/>
      <c r="I16" s="449"/>
      <c r="J16" s="449"/>
      <c r="K16" s="449"/>
      <c r="L16" s="448"/>
      <c r="M16" s="448"/>
      <c r="N16" s="448"/>
      <c r="O16" s="448"/>
      <c r="P16" s="448"/>
      <c r="Q16" s="448"/>
      <c r="R16" s="448"/>
      <c r="S16" s="448"/>
      <c r="T16" s="448"/>
      <c r="U16" s="448"/>
    </row>
    <row r="17" spans="1:53" ht="15.95" thickBot="1" x14ac:dyDescent="0.25">
      <c r="A17" s="448"/>
      <c r="B17" s="448"/>
      <c r="D17" s="448"/>
      <c r="E17" s="448"/>
      <c r="F17" s="448"/>
      <c r="G17" s="448"/>
      <c r="H17" s="448"/>
      <c r="I17" s="449"/>
      <c r="J17" s="449"/>
      <c r="K17" s="449"/>
      <c r="L17" s="448"/>
      <c r="M17" s="448"/>
      <c r="N17" s="448"/>
      <c r="O17" s="448"/>
      <c r="P17" s="448"/>
      <c r="Q17" s="448"/>
      <c r="R17" s="448"/>
      <c r="S17" s="448"/>
      <c r="T17" s="448"/>
      <c r="U17" s="448"/>
    </row>
    <row r="18" spans="1:53" ht="33" customHeight="1" thickBot="1" x14ac:dyDescent="0.25">
      <c r="A18" s="448"/>
      <c r="B18" s="448"/>
      <c r="C18" s="381" t="s">
        <v>775</v>
      </c>
      <c r="E18" s="538" t="s">
        <v>566</v>
      </c>
      <c r="F18" s="539"/>
      <c r="G18" s="539"/>
      <c r="H18" s="539"/>
      <c r="I18" s="539"/>
      <c r="J18" s="539"/>
      <c r="K18" s="539"/>
      <c r="L18" s="539"/>
      <c r="M18" s="540"/>
      <c r="N18" s="448"/>
      <c r="O18" s="547" t="s">
        <v>567</v>
      </c>
      <c r="P18" s="548"/>
      <c r="Q18" s="548"/>
      <c r="R18" s="548"/>
      <c r="S18" s="548"/>
      <c r="T18" s="548"/>
      <c r="U18" s="549"/>
      <c r="W18" s="550" t="s">
        <v>776</v>
      </c>
      <c r="X18" s="551"/>
      <c r="AB18" s="218" t="s">
        <v>568</v>
      </c>
      <c r="AC18" s="219"/>
      <c r="AD18" s="543"/>
      <c r="AE18" s="543"/>
      <c r="AF18" s="220"/>
      <c r="AG18" s="220"/>
      <c r="AH18" s="220" t="s">
        <v>769</v>
      </c>
      <c r="AP18" s="543"/>
      <c r="AQ18" s="543"/>
      <c r="AR18" s="544" t="s">
        <v>592</v>
      </c>
      <c r="AS18" s="545"/>
      <c r="AT18" s="546"/>
      <c r="AX18" s="544" t="s">
        <v>756</v>
      </c>
      <c r="AY18" s="545"/>
      <c r="AZ18" s="546"/>
    </row>
    <row r="19" spans="1:53" s="100" customFormat="1" ht="45.95" thickBot="1" x14ac:dyDescent="0.25">
      <c r="A19" s="221" t="s">
        <v>569</v>
      </c>
      <c r="B19" s="221" t="s">
        <v>570</v>
      </c>
      <c r="C19" s="221" t="s">
        <v>571</v>
      </c>
      <c r="D19" s="368" t="s">
        <v>572</v>
      </c>
      <c r="E19" s="472" t="s">
        <v>573</v>
      </c>
      <c r="F19" s="378" t="s">
        <v>574</v>
      </c>
      <c r="G19" s="378" t="s">
        <v>575</v>
      </c>
      <c r="H19" s="378" t="s">
        <v>576</v>
      </c>
      <c r="I19" s="378" t="s">
        <v>577</v>
      </c>
      <c r="J19" s="378" t="s">
        <v>578</v>
      </c>
      <c r="K19" s="378" t="s">
        <v>749</v>
      </c>
      <c r="L19" s="378" t="s">
        <v>579</v>
      </c>
      <c r="M19" s="473" t="s">
        <v>580</v>
      </c>
      <c r="N19" s="448"/>
      <c r="O19" s="472" t="s">
        <v>569</v>
      </c>
      <c r="P19" s="378" t="s">
        <v>571</v>
      </c>
      <c r="Q19" s="378" t="s">
        <v>581</v>
      </c>
      <c r="R19" s="378" t="s">
        <v>582</v>
      </c>
      <c r="S19" s="378" t="s">
        <v>583</v>
      </c>
      <c r="T19" s="378" t="s">
        <v>584</v>
      </c>
      <c r="U19" s="473" t="s">
        <v>585</v>
      </c>
      <c r="W19" s="382" t="s">
        <v>586</v>
      </c>
      <c r="X19" s="383" t="s">
        <v>587</v>
      </c>
      <c r="AA19" s="222" t="s">
        <v>588</v>
      </c>
      <c r="AB19" s="223" t="s">
        <v>589</v>
      </c>
      <c r="AC19" s="224" t="s">
        <v>590</v>
      </c>
      <c r="AD19" s="224" t="s">
        <v>591</v>
      </c>
      <c r="AE19" s="224" t="s">
        <v>592</v>
      </c>
      <c r="AF19" s="225" t="s">
        <v>593</v>
      </c>
      <c r="AG19" s="225" t="s">
        <v>594</v>
      </c>
      <c r="AH19" s="225" t="s">
        <v>760</v>
      </c>
      <c r="AJ19" s="100" t="s">
        <v>758</v>
      </c>
      <c r="AK19" s="100" t="s">
        <v>757</v>
      </c>
      <c r="AM19" s="100" t="s">
        <v>757</v>
      </c>
      <c r="AP19" s="221" t="s">
        <v>591</v>
      </c>
      <c r="AQ19" s="221" t="s">
        <v>592</v>
      </c>
      <c r="AR19" s="221" t="s">
        <v>605</v>
      </c>
      <c r="AS19" s="221" t="s">
        <v>608</v>
      </c>
      <c r="AT19" s="221" t="s">
        <v>611</v>
      </c>
      <c r="AU19"/>
      <c r="AV19"/>
      <c r="AW19" s="221" t="s">
        <v>759</v>
      </c>
      <c r="AX19" s="221" t="s">
        <v>605</v>
      </c>
      <c r="AY19" s="221" t="s">
        <v>608</v>
      </c>
      <c r="AZ19" s="221" t="s">
        <v>611</v>
      </c>
    </row>
    <row r="20" spans="1:53" x14ac:dyDescent="0.2">
      <c r="A20" s="386" t="s">
        <v>782</v>
      </c>
      <c r="B20" s="387" t="s">
        <v>596</v>
      </c>
      <c r="C20" s="388" t="s">
        <v>597</v>
      </c>
      <c r="D20" s="389">
        <v>17140.800999999999</v>
      </c>
      <c r="E20" s="492">
        <v>42527</v>
      </c>
      <c r="F20" s="387" t="str">
        <f>IF(A20="Speich***",$B$7,IF(A20="Friess",$B$10,IF(A20="Mathis",$B$11)))</f>
        <v>MG</v>
      </c>
      <c r="G20" s="387">
        <f>G40</f>
        <v>960</v>
      </c>
      <c r="H20" s="390">
        <v>1.71408</v>
      </c>
      <c r="I20" s="391">
        <f>IF(A20="Speich***",$C$7,IF(A20="Friess",$C$10,IF(A20="Mathis",$C$11)))</f>
        <v>2</v>
      </c>
      <c r="J20" s="390">
        <f>G20*H20*I20</f>
        <v>3291.0336000000002</v>
      </c>
      <c r="K20" s="390">
        <f>J20/D20</f>
        <v>0.19199998879865651</v>
      </c>
      <c r="L20" s="392">
        <f>$B$72</f>
        <v>-32.267470588235291</v>
      </c>
      <c r="M20" s="493">
        <f>J20/$J$41</f>
        <v>8.4299921334959865E-2</v>
      </c>
      <c r="N20" s="448"/>
      <c r="O20" s="474" t="s">
        <v>595</v>
      </c>
      <c r="P20" s="393" t="s">
        <v>597</v>
      </c>
      <c r="Q20" s="394">
        <f>T94</f>
        <v>2.3926327590946629E-2</v>
      </c>
      <c r="R20" s="395">
        <f t="shared" ref="R20:R39" si="0">D20</f>
        <v>17140.800999999999</v>
      </c>
      <c r="S20" s="396">
        <f t="shared" ref="S20:S40" si="1">Q20*$B$15/10^3*$B$16*R20/10^3</f>
        <v>4.0191409149928097</v>
      </c>
      <c r="T20" s="397">
        <v>-25.65</v>
      </c>
      <c r="U20" s="475">
        <f t="shared" ref="U20:U40" si="2">S20/$S$41</f>
        <v>6.41302198588833E-2</v>
      </c>
      <c r="W20" s="365">
        <f t="shared" ref="W20:W40" si="3">J20+S20</f>
        <v>3295.0527409149931</v>
      </c>
      <c r="X20" s="384">
        <f t="shared" ref="X20:X40" si="4">S20/W20</f>
        <v>1.2197501014435195E-3</v>
      </c>
      <c r="AA20" s="232" t="str">
        <f>A21</f>
        <v>Friess</v>
      </c>
      <c r="AB20" s="233" t="str">
        <f>C21</f>
        <v>N-2</v>
      </c>
      <c r="AC20" s="233">
        <f>D21</f>
        <v>43903.300999999999</v>
      </c>
      <c r="AD20" s="234">
        <v>42449</v>
      </c>
      <c r="AE20" s="233">
        <f>J21</f>
        <v>2528.8300799999993</v>
      </c>
      <c r="AF20" s="233">
        <f>(AE20/AC20)*(1/$B$15)*(1/$B$16)*10^6</f>
        <v>5.8775508865332391</v>
      </c>
      <c r="AG20" s="233"/>
      <c r="AH20" s="233"/>
      <c r="AI20" s="235"/>
      <c r="AJ20" s="235"/>
      <c r="AK20" s="356"/>
      <c r="AL20" s="235"/>
      <c r="AM20" s="236"/>
      <c r="AN20" s="237"/>
      <c r="AO20" s="237"/>
      <c r="AP20" s="238">
        <f>AD20</f>
        <v>42449</v>
      </c>
      <c r="AQ20" s="231">
        <f>SUM(AE20:AE25)</f>
        <v>15404.64012</v>
      </c>
      <c r="AR20" s="229">
        <f>SUM(AE20)</f>
        <v>2528.8300799999993</v>
      </c>
      <c r="AS20" s="229">
        <f>SUM(AE21:AE22)</f>
        <v>2071.0828799999999</v>
      </c>
      <c r="AT20" s="229">
        <f>SUM(AE23:AE25)</f>
        <v>10804.72716</v>
      </c>
      <c r="AU20" s="238"/>
      <c r="AV20" s="238"/>
      <c r="AW20" s="231">
        <f>SUM(AX20:AZ20)</f>
        <v>14151.753720000001</v>
      </c>
      <c r="AX20" s="231">
        <f>SUM(AE20)</f>
        <v>2528.8300799999993</v>
      </c>
      <c r="AY20" s="231">
        <f>SUM(AE21)</f>
        <v>818.19647999999995</v>
      </c>
      <c r="AZ20" s="231">
        <f>SUM(AE23,AE25)</f>
        <v>10804.72716</v>
      </c>
    </row>
    <row r="21" spans="1:53" x14ac:dyDescent="0.2">
      <c r="A21" s="398" t="s">
        <v>598</v>
      </c>
      <c r="B21" s="375" t="s">
        <v>599</v>
      </c>
      <c r="C21" s="399" t="s">
        <v>600</v>
      </c>
      <c r="D21" s="400">
        <v>43903.300999999999</v>
      </c>
      <c r="E21" s="494">
        <v>42449</v>
      </c>
      <c r="F21" s="375" t="str">
        <f>IF(A21="Speich***",$B$7,IF(A21="Friess",$B$10,IF(A21="Mathis",$B$11)))</f>
        <v>MG</v>
      </c>
      <c r="G21" s="400">
        <f>IF(F21="MG",$B$4,$B$3)</f>
        <v>960</v>
      </c>
      <c r="H21" s="401">
        <v>4.3903299999999996</v>
      </c>
      <c r="I21" s="402">
        <f>IF(A21="Speich",$C$7,IF(A21="Friess",$C$10,IF(A21="Mathis",$C$11)))</f>
        <v>0.6</v>
      </c>
      <c r="J21" s="401">
        <f>G21*H21*I21</f>
        <v>2528.8300799999993</v>
      </c>
      <c r="K21" s="401">
        <f t="shared" ref="K21:K40" si="5">J21/D21</f>
        <v>5.759999868802574E-2</v>
      </c>
      <c r="L21" s="403">
        <f>$B$72</f>
        <v>-32.267470588235291</v>
      </c>
      <c r="M21" s="495">
        <f>J21/$J$41</f>
        <v>6.4776056012761513E-2</v>
      </c>
      <c r="N21" s="448"/>
      <c r="O21" s="374" t="s">
        <v>598</v>
      </c>
      <c r="P21" s="404" t="s">
        <v>600</v>
      </c>
      <c r="Q21" s="405">
        <f>T95</f>
        <v>1.6182832150133653E-2</v>
      </c>
      <c r="R21" s="406">
        <f t="shared" si="0"/>
        <v>43903.300999999999</v>
      </c>
      <c r="S21" s="407">
        <f t="shared" si="1"/>
        <v>6.9627015590139898</v>
      </c>
      <c r="T21" s="408">
        <v>-25.65</v>
      </c>
      <c r="U21" s="476">
        <f t="shared" si="2"/>
        <v>0.11109826483706543</v>
      </c>
      <c r="W21" s="365">
        <f t="shared" si="3"/>
        <v>2535.7927815590133</v>
      </c>
      <c r="X21" s="384">
        <f t="shared" si="4"/>
        <v>2.7457691376238159E-3</v>
      </c>
      <c r="AA21" s="240" t="str">
        <f>A32</f>
        <v>Friess</v>
      </c>
      <c r="AB21" s="241" t="str">
        <f>C32</f>
        <v>T-9</v>
      </c>
      <c r="AC21" s="241">
        <f>D32</f>
        <v>14204.8</v>
      </c>
      <c r="AD21" s="242">
        <v>42449</v>
      </c>
      <c r="AE21" s="241">
        <f>J32</f>
        <v>818.19647999999995</v>
      </c>
      <c r="AF21" s="241">
        <f>(AE21/AC21)*(1/$B$15)*(1/$B$16)*10^6</f>
        <v>5.8775510204081636</v>
      </c>
      <c r="AG21" s="241"/>
      <c r="AH21" s="241"/>
      <c r="AI21" s="237"/>
      <c r="AJ21" s="237"/>
      <c r="AK21" s="357"/>
      <c r="AL21" s="237"/>
      <c r="AM21" s="243"/>
      <c r="AN21" s="237"/>
      <c r="AO21" s="237"/>
      <c r="AP21" s="238">
        <f>AD25</f>
        <v>42454</v>
      </c>
      <c r="AQ21" s="339" t="s">
        <v>602</v>
      </c>
      <c r="AR21" s="338"/>
      <c r="AS21" s="338"/>
      <c r="AT21" s="338"/>
      <c r="AU21" s="238"/>
      <c r="AV21" s="238"/>
      <c r="AW21" s="231"/>
    </row>
    <row r="22" spans="1:53" x14ac:dyDescent="0.2">
      <c r="A22" s="409" t="s">
        <v>779</v>
      </c>
      <c r="B22" s="353" t="s">
        <v>596</v>
      </c>
      <c r="C22" s="353" t="s">
        <v>604</v>
      </c>
      <c r="D22" s="410">
        <v>29073.1</v>
      </c>
      <c r="E22" s="496" t="s">
        <v>210</v>
      </c>
      <c r="F22" s="353" t="s">
        <v>210</v>
      </c>
      <c r="G22" s="353">
        <v>0</v>
      </c>
      <c r="H22" s="241">
        <f>D22/10000</f>
        <v>2.9073099999999998</v>
      </c>
      <c r="I22" s="353">
        <v>0</v>
      </c>
      <c r="J22" s="353">
        <v>0</v>
      </c>
      <c r="K22" s="353">
        <f t="shared" si="5"/>
        <v>0</v>
      </c>
      <c r="L22" s="353" t="s">
        <v>210</v>
      </c>
      <c r="M22" s="359">
        <v>0</v>
      </c>
      <c r="N22" s="448"/>
      <c r="O22" s="357" t="s">
        <v>603</v>
      </c>
      <c r="P22" s="237" t="s">
        <v>604</v>
      </c>
      <c r="Q22" s="411">
        <f>T96</f>
        <v>3.4970807455924199E-3</v>
      </c>
      <c r="R22" s="412">
        <f t="shared" si="0"/>
        <v>29073.1</v>
      </c>
      <c r="S22" s="411">
        <f t="shared" si="1"/>
        <v>0.99637558660189329</v>
      </c>
      <c r="T22" s="333">
        <v>-25.65</v>
      </c>
      <c r="U22" s="477">
        <f t="shared" si="2"/>
        <v>1.5898369025191927E-2</v>
      </c>
      <c r="W22" s="365">
        <f t="shared" si="3"/>
        <v>0.99637558660189329</v>
      </c>
      <c r="X22" s="384">
        <f t="shared" si="4"/>
        <v>1</v>
      </c>
      <c r="AA22" s="240" t="str">
        <f>A35</f>
        <v>Friess</v>
      </c>
      <c r="AB22" s="244" t="str">
        <f>C35</f>
        <v>T-43</v>
      </c>
      <c r="AC22" s="241">
        <f>D35</f>
        <v>21751.5</v>
      </c>
      <c r="AD22" s="242">
        <v>42449</v>
      </c>
      <c r="AE22" s="241">
        <f>J35</f>
        <v>1252.8863999999999</v>
      </c>
      <c r="AF22" s="241">
        <f>(AE22/AC22)*(1/$B$15)*(1/$B$16)*10^6</f>
        <v>5.8775510204081627</v>
      </c>
      <c r="AG22" s="241" t="s">
        <v>605</v>
      </c>
      <c r="AH22" s="241">
        <f>AF20*AC20/AJ41</f>
        <v>2.5367633517799928</v>
      </c>
      <c r="AI22" s="333" t="s">
        <v>605</v>
      </c>
      <c r="AJ22" s="251">
        <f>AC20</f>
        <v>43903.300999999999</v>
      </c>
      <c r="AK22" s="357"/>
      <c r="AL22" s="237"/>
      <c r="AM22" s="243"/>
      <c r="AN22" s="237"/>
      <c r="AO22" s="237"/>
      <c r="AP22" s="238">
        <f>AD26</f>
        <v>42473</v>
      </c>
      <c r="AQ22" s="231">
        <f>SUM(AE26:AE31,AE32:AE33)</f>
        <v>12316.196928000001</v>
      </c>
      <c r="AR22" s="229">
        <f>SUM(AE26:AE28)</f>
        <v>7810.1011199999994</v>
      </c>
      <c r="AS22" s="229">
        <f>SUM(AE29:AE32)</f>
        <v>3073.6356479999999</v>
      </c>
      <c r="AT22" s="229">
        <f>SUM(AE33)</f>
        <v>1432.4601599999999</v>
      </c>
      <c r="AU22" s="238"/>
      <c r="AV22" s="238"/>
      <c r="AW22" s="231">
        <f>SUM(AX22:AZ22)</f>
        <v>12249.068160000001</v>
      </c>
      <c r="AX22" s="231">
        <f>SUM(AE26:AE28)</f>
        <v>7810.1011199999994</v>
      </c>
      <c r="AY22" s="231">
        <f>SUM(AE29:AE31)</f>
        <v>3006.5068799999999</v>
      </c>
      <c r="AZ22" s="231">
        <f>SUM(AE33)</f>
        <v>1432.4601599999999</v>
      </c>
    </row>
    <row r="23" spans="1:53" x14ac:dyDescent="0.2">
      <c r="A23" s="413" t="s">
        <v>606</v>
      </c>
      <c r="B23" s="353" t="s">
        <v>599</v>
      </c>
      <c r="C23" s="414" t="s">
        <v>607</v>
      </c>
      <c r="D23" s="410">
        <v>9452.5</v>
      </c>
      <c r="E23" s="496">
        <v>42473</v>
      </c>
      <c r="F23" s="353" t="s">
        <v>601</v>
      </c>
      <c r="G23" s="410">
        <f>IF(F23="MG",$B$4,$B$3)</f>
        <v>960</v>
      </c>
      <c r="H23" s="241">
        <v>0.94525099999999995</v>
      </c>
      <c r="I23" s="410">
        <f>IF(A23="Kopp",$D$4,$C$4)</f>
        <v>2</v>
      </c>
      <c r="J23" s="241">
        <f>G23*H23*I23</f>
        <v>1814.8819199999998</v>
      </c>
      <c r="K23" s="241">
        <f t="shared" si="5"/>
        <v>0.19200020312086746</v>
      </c>
      <c r="L23" s="415">
        <f>$B$72</f>
        <v>-32.267470588235291</v>
      </c>
      <c r="M23" s="497">
        <f>J23/$J$41</f>
        <v>4.6488253139755513E-2</v>
      </c>
      <c r="N23" s="448"/>
      <c r="O23" s="478" t="s">
        <v>606</v>
      </c>
      <c r="P23" s="416" t="s">
        <v>607</v>
      </c>
      <c r="Q23" s="417">
        <f>T101</f>
        <v>8.28384463943296E-3</v>
      </c>
      <c r="R23" s="412">
        <f t="shared" si="0"/>
        <v>9452.5</v>
      </c>
      <c r="S23" s="411">
        <f t="shared" si="1"/>
        <v>0.76736980625155249</v>
      </c>
      <c r="T23" s="333">
        <v>-25.65</v>
      </c>
      <c r="U23" s="477">
        <f t="shared" si="2"/>
        <v>1.2244306788150717E-2</v>
      </c>
      <c r="W23" s="365">
        <f t="shared" si="3"/>
        <v>1815.6492898062513</v>
      </c>
      <c r="X23" s="384">
        <f t="shared" si="4"/>
        <v>4.2264208763215434E-4</v>
      </c>
      <c r="AA23" s="240" t="str">
        <f>A36</f>
        <v>Friess</v>
      </c>
      <c r="AB23" s="241" t="str">
        <f>C36</f>
        <v>S-11</v>
      </c>
      <c r="AC23" s="241">
        <f>D36</f>
        <v>15022.6</v>
      </c>
      <c r="AD23" s="242">
        <v>42449</v>
      </c>
      <c r="AE23" s="241">
        <f>J36</f>
        <v>865.30175999999994</v>
      </c>
      <c r="AF23" s="241">
        <f>(AE23/AC23)*(1/$B$15)*(1/$B$16)*10^6</f>
        <v>5.8775510204081627</v>
      </c>
      <c r="AG23" s="241" t="s">
        <v>608</v>
      </c>
      <c r="AH23" s="241">
        <f>AF21*AC21/AJ42</f>
        <v>2.127264126251307</v>
      </c>
      <c r="AI23" s="333" t="s">
        <v>608</v>
      </c>
      <c r="AJ23" s="251">
        <f>AC21</f>
        <v>14204.8</v>
      </c>
      <c r="AK23" s="357"/>
      <c r="AL23" s="237"/>
      <c r="AM23" s="243"/>
      <c r="AN23" s="237"/>
      <c r="AO23" s="237"/>
      <c r="AP23" s="245">
        <f>AD32</f>
        <v>42474</v>
      </c>
      <c r="AQ23" s="340" t="s">
        <v>609</v>
      </c>
      <c r="AR23" s="338"/>
      <c r="AS23" s="338"/>
      <c r="AT23" s="338"/>
      <c r="AU23" s="245"/>
      <c r="AV23" s="245"/>
      <c r="AW23" s="231"/>
    </row>
    <row r="24" spans="1:53" x14ac:dyDescent="0.2">
      <c r="A24" s="409" t="s">
        <v>603</v>
      </c>
      <c r="B24" s="353" t="s">
        <v>596</v>
      </c>
      <c r="C24" s="414" t="s">
        <v>610</v>
      </c>
      <c r="D24" s="410">
        <v>8369.2001999999993</v>
      </c>
      <c r="E24" s="496" t="s">
        <v>210</v>
      </c>
      <c r="F24" s="353" t="s">
        <v>210</v>
      </c>
      <c r="G24" s="353">
        <v>0</v>
      </c>
      <c r="H24" s="241">
        <f>D24/10000</f>
        <v>0.83692001999999999</v>
      </c>
      <c r="I24" s="353">
        <v>0</v>
      </c>
      <c r="J24" s="353">
        <v>0</v>
      </c>
      <c r="K24" s="353">
        <f t="shared" si="5"/>
        <v>0</v>
      </c>
      <c r="L24" s="353" t="s">
        <v>210</v>
      </c>
      <c r="M24" s="359">
        <v>0</v>
      </c>
      <c r="N24" s="448"/>
      <c r="O24" s="357" t="s">
        <v>603</v>
      </c>
      <c r="P24" s="237" t="s">
        <v>610</v>
      </c>
      <c r="Q24" s="411">
        <f>T98</f>
        <v>5.3294195852720251E-2</v>
      </c>
      <c r="R24" s="412">
        <f t="shared" si="0"/>
        <v>8369.2001999999993</v>
      </c>
      <c r="S24" s="411">
        <f t="shared" si="1"/>
        <v>4.3710919869763689</v>
      </c>
      <c r="T24" s="333">
        <v>-25.65</v>
      </c>
      <c r="U24" s="477">
        <f t="shared" si="2"/>
        <v>6.9746021868133251E-2</v>
      </c>
      <c r="W24" s="365">
        <f t="shared" si="3"/>
        <v>4.3710919869763689</v>
      </c>
      <c r="X24" s="384">
        <f t="shared" si="4"/>
        <v>1</v>
      </c>
      <c r="AG24" s="241" t="s">
        <v>611</v>
      </c>
      <c r="AH24" s="241">
        <f>AF23*(AC23/AJ43)+AF25*(AC25/AJ43)</f>
        <v>10.031774986875364</v>
      </c>
      <c r="AI24" s="333" t="s">
        <v>611</v>
      </c>
      <c r="AJ24" s="251">
        <f>(AC23+AC25)</f>
        <v>69336.400999999998</v>
      </c>
      <c r="AK24" s="358"/>
      <c r="AL24" s="353"/>
      <c r="AM24" s="359"/>
      <c r="AN24" s="353"/>
      <c r="AO24" s="237"/>
      <c r="AP24" s="238">
        <f>AD34</f>
        <v>42515</v>
      </c>
      <c r="AQ24" s="231">
        <f>AE34</f>
        <v>1803.0664260000001</v>
      </c>
      <c r="AR24" s="229">
        <v>0</v>
      </c>
      <c r="AS24" s="229">
        <f>AE34</f>
        <v>1803.0664260000001</v>
      </c>
      <c r="AT24" s="229">
        <v>0</v>
      </c>
      <c r="AU24" s="238"/>
      <c r="AV24" s="238"/>
      <c r="AW24" s="231">
        <f>SUM(AX24:AZ24)</f>
        <v>1803.0664260000001</v>
      </c>
      <c r="AX24">
        <v>0</v>
      </c>
      <c r="AY24" s="231">
        <f>AE34</f>
        <v>1803.0664260000001</v>
      </c>
      <c r="AZ24">
        <v>0</v>
      </c>
    </row>
    <row r="25" spans="1:53" ht="15.95" thickBot="1" x14ac:dyDescent="0.25">
      <c r="A25" s="413" t="s">
        <v>606</v>
      </c>
      <c r="B25" s="353" t="s">
        <v>599</v>
      </c>
      <c r="C25" s="414" t="s">
        <v>612</v>
      </c>
      <c r="D25" s="410">
        <v>13776.5</v>
      </c>
      <c r="E25" s="496">
        <v>42473</v>
      </c>
      <c r="F25" s="353" t="s">
        <v>601</v>
      </c>
      <c r="G25" s="410">
        <f>IF(F25="MG",$B$4,$B$3)</f>
        <v>960</v>
      </c>
      <c r="H25" s="241">
        <v>1.37765</v>
      </c>
      <c r="I25" s="410">
        <f>IF(A25="Kopp",$D$4,$C$4)</f>
        <v>2</v>
      </c>
      <c r="J25" s="241">
        <f>G25*H25*I25</f>
        <v>2645.0880000000002</v>
      </c>
      <c r="K25" s="241">
        <f t="shared" si="5"/>
        <v>0.192</v>
      </c>
      <c r="L25" s="415">
        <f>$B$72</f>
        <v>-32.267470588235291</v>
      </c>
      <c r="M25" s="497">
        <f>J25/$J$41</f>
        <v>6.7754006013200932E-2</v>
      </c>
      <c r="N25" s="448"/>
      <c r="O25" s="478" t="s">
        <v>606</v>
      </c>
      <c r="P25" s="416" t="s">
        <v>612</v>
      </c>
      <c r="Q25" s="417">
        <f>T99</f>
        <v>8.4393367093206773E-3</v>
      </c>
      <c r="R25" s="412">
        <f t="shared" si="0"/>
        <v>13776.5</v>
      </c>
      <c r="S25" s="411">
        <f t="shared" si="1"/>
        <v>1.1393923173243721</v>
      </c>
      <c r="T25" s="333">
        <v>-25.65</v>
      </c>
      <c r="U25" s="477">
        <f t="shared" si="2"/>
        <v>1.8180372711730418E-2</v>
      </c>
      <c r="W25" s="365">
        <f t="shared" si="3"/>
        <v>2646.2273923173248</v>
      </c>
      <c r="X25" s="384">
        <f t="shared" si="4"/>
        <v>4.3057233880667987E-4</v>
      </c>
      <c r="AA25" s="246" t="str">
        <f>A37</f>
        <v>Mathis*</v>
      </c>
      <c r="AB25" s="247" t="str">
        <f>C37</f>
        <v>S12</v>
      </c>
      <c r="AC25" s="247">
        <f>D37</f>
        <v>54313.800999999999</v>
      </c>
      <c r="AD25" s="248">
        <v>42454</v>
      </c>
      <c r="AE25" s="247">
        <f>J37</f>
        <v>9939.4254000000001</v>
      </c>
      <c r="AF25" s="247">
        <f t="shared" ref="AF25:AF38" si="6">(AE25/AC25)*(1/$B$15)*(1/$B$16)*10^6</f>
        <v>18.673469043948021</v>
      </c>
      <c r="AG25" s="247"/>
      <c r="AH25" s="247"/>
      <c r="AI25" s="334" t="s">
        <v>613</v>
      </c>
      <c r="AJ25" s="363">
        <f>SUM(AC20:AC21,AC23,AC25)</f>
        <v>127444.50200000001</v>
      </c>
      <c r="AK25" s="360">
        <f>AJ25</f>
        <v>127444.50200000001</v>
      </c>
      <c r="AL25" s="355"/>
      <c r="AM25" s="361"/>
      <c r="AN25" s="355"/>
      <c r="AO25" s="251"/>
      <c r="AP25" s="245">
        <f>AD36</f>
        <v>42527</v>
      </c>
      <c r="AQ25" s="231">
        <f>SUM(AE36:AE38)</f>
        <v>6501.7382399999997</v>
      </c>
      <c r="AR25" s="229">
        <f>SUM(AE36:AE37)</f>
        <v>5342.0159999999996</v>
      </c>
      <c r="AS25" s="229">
        <v>0</v>
      </c>
      <c r="AT25" s="229">
        <f>SUM(AE38)</f>
        <v>1159.7222399999998</v>
      </c>
      <c r="AW25" s="231">
        <f>SUM(AX25:AZ25)</f>
        <v>6304.9728000000005</v>
      </c>
      <c r="AX25" s="231">
        <f>SUM(AE36)</f>
        <v>3291.0336000000002</v>
      </c>
      <c r="AY25">
        <v>0</v>
      </c>
      <c r="AZ25" s="231">
        <f>SUM(AE35)</f>
        <v>3013.9392000000003</v>
      </c>
    </row>
    <row r="26" spans="1:53" x14ac:dyDescent="0.2">
      <c r="A26" s="413" t="s">
        <v>606</v>
      </c>
      <c r="B26" s="353" t="s">
        <v>599</v>
      </c>
      <c r="C26" s="414" t="s">
        <v>614</v>
      </c>
      <c r="D26" s="410">
        <v>17448.599999999999</v>
      </c>
      <c r="E26" s="496">
        <v>42473</v>
      </c>
      <c r="F26" s="353" t="s">
        <v>601</v>
      </c>
      <c r="G26" s="410">
        <f>IF(F26="MG",$B$4,$B$3)</f>
        <v>960</v>
      </c>
      <c r="H26" s="241">
        <v>1.7448600000000001</v>
      </c>
      <c r="I26" s="410">
        <f>IF(A26="Kopp",$D$4,$C$4)</f>
        <v>2</v>
      </c>
      <c r="J26" s="241">
        <f>G26*H26*I26</f>
        <v>3350.1312000000003</v>
      </c>
      <c r="K26" s="241">
        <f t="shared" si="5"/>
        <v>0.19200000000000003</v>
      </c>
      <c r="L26" s="415">
        <f>$B$72</f>
        <v>-32.267470588235291</v>
      </c>
      <c r="M26" s="497">
        <f>J26/$J$41</f>
        <v>8.5813708076938097E-2</v>
      </c>
      <c r="N26" s="448"/>
      <c r="O26" s="478" t="s">
        <v>606</v>
      </c>
      <c r="P26" s="416" t="s">
        <v>614</v>
      </c>
      <c r="Q26" s="417">
        <f>T100</f>
        <v>6.5290964155009738E-3</v>
      </c>
      <c r="R26" s="412">
        <f t="shared" si="0"/>
        <v>17448.599999999999</v>
      </c>
      <c r="S26" s="411">
        <f t="shared" si="1"/>
        <v>1.1164511988120007</v>
      </c>
      <c r="T26" s="333">
        <v>-25.65</v>
      </c>
      <c r="U26" s="477">
        <f t="shared" si="2"/>
        <v>1.7814319616025587E-2</v>
      </c>
      <c r="W26" s="365">
        <f t="shared" si="3"/>
        <v>3351.247651198812</v>
      </c>
      <c r="X26" s="384">
        <f t="shared" si="4"/>
        <v>3.3314494033666016E-4</v>
      </c>
      <c r="AA26" s="232" t="str">
        <f>A23</f>
        <v>Kopp</v>
      </c>
      <c r="AB26" s="233" t="str">
        <f>C23</f>
        <v>N-4</v>
      </c>
      <c r="AC26" s="233">
        <f>D23</f>
        <v>9452.5</v>
      </c>
      <c r="AD26" s="234">
        <v>42473</v>
      </c>
      <c r="AE26" s="233">
        <f>J23</f>
        <v>1814.8819199999998</v>
      </c>
      <c r="AF26" s="233">
        <f t="shared" si="6"/>
        <v>19.591857461313005</v>
      </c>
      <c r="AG26" s="233"/>
      <c r="AH26" s="233"/>
      <c r="AI26" s="335"/>
      <c r="AJ26" s="235"/>
      <c r="AK26" s="357"/>
      <c r="AL26" s="237"/>
      <c r="AM26" s="243"/>
      <c r="AN26" s="237"/>
      <c r="AO26" s="237"/>
      <c r="AR26" s="229"/>
      <c r="AS26" s="337"/>
      <c r="AT26" s="229"/>
    </row>
    <row r="27" spans="1:53" x14ac:dyDescent="0.2">
      <c r="A27" s="413" t="s">
        <v>778</v>
      </c>
      <c r="B27" s="353" t="s">
        <v>596</v>
      </c>
      <c r="C27" s="418" t="s">
        <v>616</v>
      </c>
      <c r="D27" s="410">
        <v>10682.2</v>
      </c>
      <c r="E27" s="498">
        <v>42527</v>
      </c>
      <c r="F27" s="353" t="s">
        <v>601</v>
      </c>
      <c r="G27" s="410">
        <f>IF(F27="MG",$B$4,$B$3)</f>
        <v>960</v>
      </c>
      <c r="H27" s="241">
        <v>1.0682199999999999</v>
      </c>
      <c r="I27" s="410">
        <v>2</v>
      </c>
      <c r="J27" s="241">
        <f>G27*H27*I27</f>
        <v>2050.9823999999999</v>
      </c>
      <c r="K27" s="241">
        <f t="shared" si="5"/>
        <v>0.19199999999999998</v>
      </c>
      <c r="L27" s="415">
        <f>$B$72</f>
        <v>-32.267470588235291</v>
      </c>
      <c r="M27" s="497">
        <f>J27/$J$41</f>
        <v>5.2535973798440452E-2</v>
      </c>
      <c r="N27" s="448"/>
      <c r="O27" s="478" t="s">
        <v>615</v>
      </c>
      <c r="P27" s="416" t="s">
        <v>616</v>
      </c>
      <c r="Q27" s="417">
        <f>P79</f>
        <v>1.8293100230621178E-2</v>
      </c>
      <c r="R27" s="412">
        <f t="shared" si="0"/>
        <v>10682.2</v>
      </c>
      <c r="S27" s="411">
        <f t="shared" si="1"/>
        <v>1.9150234417787073</v>
      </c>
      <c r="T27" s="333">
        <v>-25.65</v>
      </c>
      <c r="U27" s="477">
        <f t="shared" si="2"/>
        <v>3.055649875276981E-2</v>
      </c>
      <c r="W27" s="365">
        <f t="shared" si="3"/>
        <v>2052.8974234417788</v>
      </c>
      <c r="X27" s="384">
        <f t="shared" si="4"/>
        <v>9.3283932256492418E-4</v>
      </c>
      <c r="AA27" s="240" t="str">
        <f>A25</f>
        <v>Kopp</v>
      </c>
      <c r="AB27" s="241" t="str">
        <f>C25</f>
        <v>N-7</v>
      </c>
      <c r="AC27" s="241">
        <f>D25</f>
        <v>13776.5</v>
      </c>
      <c r="AD27" s="242">
        <v>42473</v>
      </c>
      <c r="AE27" s="241">
        <f>J25</f>
        <v>2645.0880000000002</v>
      </c>
      <c r="AF27" s="241">
        <f t="shared" si="6"/>
        <v>19.591836734693878</v>
      </c>
      <c r="AG27" s="241"/>
      <c r="AH27" s="241"/>
      <c r="AI27" s="333"/>
      <c r="AJ27" s="237"/>
      <c r="AK27" s="357"/>
      <c r="AL27" s="237"/>
      <c r="AM27" s="243"/>
      <c r="AN27" s="237"/>
      <c r="AO27" s="237"/>
      <c r="AP27" s="50" t="s">
        <v>617</v>
      </c>
      <c r="AQ27" s="259">
        <f>SUM(AQ20,AQ22,AQ24:AQ25)</f>
        <v>36025.641714000005</v>
      </c>
      <c r="AR27" s="259">
        <f>SUM(AR20,AR22,AR24:AR25)</f>
        <v>15680.947199999999</v>
      </c>
      <c r="AS27" s="259">
        <f t="shared" ref="AS27:AT27" si="7">SUM(AS20,AS22,AS24:AS25)</f>
        <v>6947.7849539999997</v>
      </c>
      <c r="AT27" s="259">
        <f t="shared" si="7"/>
        <v>13396.90956</v>
      </c>
      <c r="AW27" s="231">
        <f>SUM(AX27:AZ27)</f>
        <v>34508.861105999997</v>
      </c>
      <c r="AX27" s="259">
        <f>SUM(AX20,AX22,AX24:AX25)</f>
        <v>13629.9648</v>
      </c>
      <c r="AY27" s="259">
        <f t="shared" ref="AY27" si="8">SUM(AY20,AY22,AY24:AY25)</f>
        <v>5627.7697859999998</v>
      </c>
      <c r="AZ27" s="259">
        <f>SUM(AZ20,AZ22,AZ24:AZ25)</f>
        <v>15251.126520000002</v>
      </c>
    </row>
    <row r="28" spans="1:53" x14ac:dyDescent="0.2">
      <c r="A28" s="413" t="s">
        <v>606</v>
      </c>
      <c r="B28" s="353" t="s">
        <v>599</v>
      </c>
      <c r="C28" s="414" t="s">
        <v>618</v>
      </c>
      <c r="D28" s="410">
        <v>2965.98</v>
      </c>
      <c r="E28" s="496">
        <v>42473</v>
      </c>
      <c r="F28" s="353" t="s">
        <v>601</v>
      </c>
      <c r="G28" s="410">
        <f>IF(F28="MG",$B$4,$B$3)</f>
        <v>960</v>
      </c>
      <c r="H28" s="241">
        <v>0.29659799999999997</v>
      </c>
      <c r="I28" s="410">
        <f>IF(A28="Kopp",$D$4,$C$4)</f>
        <v>2</v>
      </c>
      <c r="J28" s="241">
        <f>G28*H28*I28</f>
        <v>569.4681599999999</v>
      </c>
      <c r="K28" s="241">
        <f t="shared" si="5"/>
        <v>0.19199999999999998</v>
      </c>
      <c r="L28" s="415">
        <f>$B$72</f>
        <v>-32.267470588235291</v>
      </c>
      <c r="M28" s="497">
        <f>J28/$J$41</f>
        <v>1.4586943472945497E-2</v>
      </c>
      <c r="N28" s="448"/>
      <c r="O28" s="478" t="s">
        <v>606</v>
      </c>
      <c r="P28" s="416" t="s">
        <v>618</v>
      </c>
      <c r="Q28" s="417">
        <f t="shared" ref="Q28:Q33" si="9">T101</f>
        <v>8.28384463943296E-3</v>
      </c>
      <c r="R28" s="412">
        <f t="shared" si="0"/>
        <v>2965.98</v>
      </c>
      <c r="S28" s="411">
        <f t="shared" si="1"/>
        <v>0.24078323173192062</v>
      </c>
      <c r="T28" s="333">
        <v>-25.65</v>
      </c>
      <c r="U28" s="477">
        <f t="shared" si="2"/>
        <v>3.8419856172990491E-3</v>
      </c>
      <c r="W28" s="365">
        <f t="shared" si="3"/>
        <v>569.70894323173184</v>
      </c>
      <c r="X28" s="384">
        <f t="shared" si="4"/>
        <v>4.2264253456519971E-4</v>
      </c>
      <c r="AA28" s="240" t="str">
        <f>A26</f>
        <v>Kopp</v>
      </c>
      <c r="AB28" s="241" t="str">
        <f>C26</f>
        <v>N-8</v>
      </c>
      <c r="AC28" s="241">
        <f>D26</f>
        <v>17448.599999999999</v>
      </c>
      <c r="AD28" s="242">
        <v>42473</v>
      </c>
      <c r="AE28" s="241">
        <f>J26</f>
        <v>3350.1312000000003</v>
      </c>
      <c r="AF28" s="241">
        <f t="shared" si="6"/>
        <v>19.591836734693882</v>
      </c>
      <c r="AG28" s="241"/>
      <c r="AH28" s="241"/>
      <c r="AI28" s="333"/>
      <c r="AJ28" s="237"/>
      <c r="AK28" s="357"/>
      <c r="AL28" s="237"/>
      <c r="AM28" s="243"/>
      <c r="AN28" s="237"/>
      <c r="AO28" s="237"/>
      <c r="AP28" s="253"/>
      <c r="AR28" s="227"/>
      <c r="AS28" s="239"/>
      <c r="AT28" s="227"/>
      <c r="AU28" s="238"/>
      <c r="AV28" s="238"/>
    </row>
    <row r="29" spans="1:53" x14ac:dyDescent="0.2">
      <c r="A29" s="409" t="s">
        <v>780</v>
      </c>
      <c r="B29" s="353" t="s">
        <v>596</v>
      </c>
      <c r="C29" s="414" t="s">
        <v>619</v>
      </c>
      <c r="D29" s="410">
        <v>3360.51</v>
      </c>
      <c r="E29" s="496" t="s">
        <v>210</v>
      </c>
      <c r="F29" s="353" t="s">
        <v>210</v>
      </c>
      <c r="G29" s="353">
        <v>0</v>
      </c>
      <c r="H29" s="241">
        <f>D29/10000</f>
        <v>0.33605100000000004</v>
      </c>
      <c r="I29" s="353">
        <v>0</v>
      </c>
      <c r="J29" s="353">
        <v>0</v>
      </c>
      <c r="K29" s="353">
        <f t="shared" si="5"/>
        <v>0</v>
      </c>
      <c r="L29" s="353" t="s">
        <v>210</v>
      </c>
      <c r="M29" s="359">
        <v>0</v>
      </c>
      <c r="N29" s="448"/>
      <c r="O29" s="357" t="s">
        <v>603</v>
      </c>
      <c r="P29" s="237" t="s">
        <v>619</v>
      </c>
      <c r="Q29" s="411">
        <f t="shared" si="9"/>
        <v>4.8701375008149313E-2</v>
      </c>
      <c r="R29" s="412">
        <f t="shared" si="0"/>
        <v>3360.51</v>
      </c>
      <c r="S29" s="411">
        <f t="shared" si="1"/>
        <v>1.6038822857406314</v>
      </c>
      <c r="T29" s="333">
        <v>-25.65</v>
      </c>
      <c r="U29" s="477">
        <f t="shared" si="2"/>
        <v>2.5591867960792557E-2</v>
      </c>
      <c r="W29" s="365">
        <f t="shared" si="3"/>
        <v>1.6038822857406314</v>
      </c>
      <c r="X29" s="384">
        <f t="shared" si="4"/>
        <v>1</v>
      </c>
      <c r="AA29" s="240" t="str">
        <f>A28</f>
        <v>Kopp</v>
      </c>
      <c r="AB29" s="241" t="str">
        <f>C28</f>
        <v>T-4</v>
      </c>
      <c r="AC29" s="241">
        <f>D28</f>
        <v>2965.98</v>
      </c>
      <c r="AD29" s="242">
        <v>42473</v>
      </c>
      <c r="AE29" s="241">
        <f>J28</f>
        <v>569.4681599999999</v>
      </c>
      <c r="AF29" s="241">
        <f t="shared" si="6"/>
        <v>19.591836734693874</v>
      </c>
      <c r="AG29" s="241"/>
      <c r="AH29" s="241"/>
      <c r="AI29" s="333"/>
      <c r="AJ29" s="237"/>
      <c r="AK29" s="357"/>
      <c r="AL29" s="237"/>
      <c r="AM29" s="243"/>
      <c r="AN29" s="237"/>
      <c r="AO29" s="237"/>
      <c r="AP29" t="s">
        <v>761</v>
      </c>
      <c r="AQ29" s="49">
        <v>9306</v>
      </c>
      <c r="AR29" s="227"/>
      <c r="AS29" s="227"/>
      <c r="AT29" s="227"/>
      <c r="AU29" s="238"/>
      <c r="AV29" s="238"/>
      <c r="AW29" t="s">
        <v>761</v>
      </c>
      <c r="AX29" s="367">
        <v>5267.8990000000003</v>
      </c>
      <c r="AY29" s="367">
        <v>1805.7273299999999</v>
      </c>
      <c r="AZ29" s="367">
        <v>2691.16986</v>
      </c>
      <c r="BA29" s="227">
        <f>SUM(AX29:AZ29)</f>
        <v>9764.7961900000009</v>
      </c>
    </row>
    <row r="30" spans="1:53" x14ac:dyDescent="0.2">
      <c r="A30" s="413" t="s">
        <v>606</v>
      </c>
      <c r="B30" s="353" t="s">
        <v>599</v>
      </c>
      <c r="C30" s="414" t="s">
        <v>620</v>
      </c>
      <c r="D30" s="410">
        <v>5336.0801000000001</v>
      </c>
      <c r="E30" s="496">
        <v>42473</v>
      </c>
      <c r="F30" s="353" t="s">
        <v>601</v>
      </c>
      <c r="G30" s="410">
        <f t="shared" ref="G30:G40" si="10">IF(F30="MG",$B$4,$B$3)</f>
        <v>960</v>
      </c>
      <c r="H30" s="241">
        <v>0.53360799999999997</v>
      </c>
      <c r="I30" s="410">
        <f>IF(A30="Kopp",$D$4,$C$4)</f>
        <v>2</v>
      </c>
      <c r="J30" s="241">
        <f t="shared" ref="J30:J40" si="11">G30*H30*I30</f>
        <v>1024.52736</v>
      </c>
      <c r="K30" s="241">
        <f t="shared" si="5"/>
        <v>0.19199999640185311</v>
      </c>
      <c r="L30" s="415">
        <f t="shared" ref="L30:L40" si="12">$B$72</f>
        <v>-32.267470588235291</v>
      </c>
      <c r="M30" s="497">
        <f t="shared" ref="M30:M40" si="13">J30/$J$41</f>
        <v>2.6243298109601222E-2</v>
      </c>
      <c r="N30" s="448"/>
      <c r="O30" s="478" t="s">
        <v>606</v>
      </c>
      <c r="P30" s="416" t="s">
        <v>620</v>
      </c>
      <c r="Q30" s="417">
        <f t="shared" si="9"/>
        <v>1.5554078707623875E-2</v>
      </c>
      <c r="R30" s="412">
        <f t="shared" si="0"/>
        <v>5336.0801000000001</v>
      </c>
      <c r="S30" s="411">
        <f t="shared" si="1"/>
        <v>0.81337853668273774</v>
      </c>
      <c r="T30" s="333">
        <v>-25.65</v>
      </c>
      <c r="U30" s="477">
        <f t="shared" si="2"/>
        <v>1.2978431333765281E-2</v>
      </c>
      <c r="W30" s="365">
        <f t="shared" si="3"/>
        <v>1025.3407385366827</v>
      </c>
      <c r="X30" s="384">
        <f t="shared" si="4"/>
        <v>7.9327632865105189E-4</v>
      </c>
      <c r="AA30" s="240" t="str">
        <f>A30</f>
        <v>Kopp</v>
      </c>
      <c r="AB30" s="241" t="str">
        <f>C30</f>
        <v>T-7</v>
      </c>
      <c r="AC30" s="241">
        <f>D30</f>
        <v>5336.0801000000001</v>
      </c>
      <c r="AD30" s="242">
        <v>42473</v>
      </c>
      <c r="AE30" s="241">
        <f>J30</f>
        <v>1024.52736</v>
      </c>
      <c r="AF30" s="241">
        <f t="shared" si="6"/>
        <v>19.591836367536029</v>
      </c>
      <c r="AG30" s="241" t="s">
        <v>605</v>
      </c>
      <c r="AH30" s="241">
        <f>AF26*(AC26/AJ41)+AF27*(AC27/AJ41)+AF28*(AC28/AJ41) +AH22</f>
        <v>10.371365783791511</v>
      </c>
      <c r="AI30" s="333" t="s">
        <v>605</v>
      </c>
      <c r="AJ30" s="251">
        <f>SUM(AC26:AC28)</f>
        <v>40677.599999999999</v>
      </c>
      <c r="AK30" s="357"/>
      <c r="AL30" s="333" t="s">
        <v>605</v>
      </c>
      <c r="AM30" s="354">
        <f>AJ22+AJ30</f>
        <v>84580.900999999998</v>
      </c>
      <c r="AN30" s="231"/>
      <c r="AO30" s="237"/>
      <c r="AP30" s="254" t="s">
        <v>764</v>
      </c>
      <c r="AR30" s="227"/>
      <c r="AS30" s="227"/>
      <c r="AT30" s="227"/>
      <c r="AU30" s="227"/>
      <c r="AV30" s="227"/>
      <c r="AW30" t="s">
        <v>762</v>
      </c>
      <c r="AX30" s="227"/>
      <c r="AY30" s="227"/>
      <c r="AZ30" s="227"/>
      <c r="BA30" s="227"/>
    </row>
    <row r="31" spans="1:53" x14ac:dyDescent="0.2">
      <c r="A31" s="413" t="s">
        <v>606</v>
      </c>
      <c r="B31" s="353" t="s">
        <v>599</v>
      </c>
      <c r="C31" s="414" t="s">
        <v>621</v>
      </c>
      <c r="D31" s="410">
        <v>7356.8301000000001</v>
      </c>
      <c r="E31" s="496">
        <v>42473</v>
      </c>
      <c r="F31" s="353" t="s">
        <v>601</v>
      </c>
      <c r="G31" s="410">
        <f t="shared" si="10"/>
        <v>960</v>
      </c>
      <c r="H31" s="241">
        <v>0.73568299999999998</v>
      </c>
      <c r="I31" s="410">
        <f>IF(A31="Kopp",$D$4,$C$4)</f>
        <v>2</v>
      </c>
      <c r="J31" s="241">
        <f t="shared" si="11"/>
        <v>1412.51136</v>
      </c>
      <c r="K31" s="241">
        <f t="shared" si="5"/>
        <v>0.19199999739018031</v>
      </c>
      <c r="L31" s="415">
        <f t="shared" si="12"/>
        <v>-32.267470588235291</v>
      </c>
      <c r="M31" s="497">
        <f t="shared" si="13"/>
        <v>3.6181519548368381E-2</v>
      </c>
      <c r="N31" s="448"/>
      <c r="O31" s="478" t="s">
        <v>606</v>
      </c>
      <c r="P31" s="416" t="s">
        <v>621</v>
      </c>
      <c r="Q31" s="417">
        <f t="shared" si="9"/>
        <v>1.8036078456431636E-2</v>
      </c>
      <c r="R31" s="412">
        <f t="shared" si="0"/>
        <v>7356.8301000000001</v>
      </c>
      <c r="S31" s="411">
        <f t="shared" si="1"/>
        <v>1.3003459757675304</v>
      </c>
      <c r="T31" s="333">
        <v>-25.65</v>
      </c>
      <c r="U31" s="477">
        <f t="shared" si="2"/>
        <v>2.0748581620392139E-2</v>
      </c>
      <c r="W31" s="365">
        <f t="shared" si="3"/>
        <v>1413.8117059757676</v>
      </c>
      <c r="X31" s="384">
        <f t="shared" si="4"/>
        <v>9.1974480779254348E-4</v>
      </c>
      <c r="AA31" s="240" t="str">
        <f>A31</f>
        <v>Kopp</v>
      </c>
      <c r="AB31" s="241" t="str">
        <f>C31</f>
        <v>T-8</v>
      </c>
      <c r="AC31" s="241">
        <f>D31</f>
        <v>7356.8301000000001</v>
      </c>
      <c r="AD31" s="242">
        <v>42473</v>
      </c>
      <c r="AE31" s="241">
        <f>J31</f>
        <v>1412.51136</v>
      </c>
      <c r="AF31" s="241">
        <f t="shared" si="6"/>
        <v>19.591836468385743</v>
      </c>
      <c r="AG31" s="241" t="s">
        <v>608</v>
      </c>
      <c r="AH31" s="241">
        <f>AF29*(AC29/AJ42)+AF30*(AC30/AJ42)+AF31*AC31/AJ42+AH23</f>
        <v>9.9440103326780829</v>
      </c>
      <c r="AI31" s="333" t="s">
        <v>608</v>
      </c>
      <c r="AJ31" s="251">
        <f>SUM(AC29:AC31)</f>
        <v>15658.890200000002</v>
      </c>
      <c r="AK31" s="357"/>
      <c r="AL31" s="333" t="s">
        <v>608</v>
      </c>
      <c r="AM31" s="354">
        <f>AJ23+AJ31</f>
        <v>29863.690200000001</v>
      </c>
      <c r="AN31" s="231"/>
      <c r="AO31" s="237"/>
      <c r="AR31" s="352"/>
      <c r="AS31" s="352"/>
      <c r="AT31" s="352"/>
      <c r="AU31" s="238"/>
      <c r="AV31" s="238"/>
      <c r="AW31" t="s">
        <v>763</v>
      </c>
      <c r="AX31" s="352">
        <f>AX29/$BA$29</f>
        <v>0.53947864323013583</v>
      </c>
      <c r="AY31" s="352">
        <f t="shared" ref="AY31:AZ31" si="14">AY29/$BA$29</f>
        <v>0.18492217296344818</v>
      </c>
      <c r="AZ31" s="352">
        <f t="shared" si="14"/>
        <v>0.2755991838064159</v>
      </c>
      <c r="BA31" t="s">
        <v>767</v>
      </c>
    </row>
    <row r="32" spans="1:53" x14ac:dyDescent="0.2">
      <c r="A32" s="398" t="s">
        <v>598</v>
      </c>
      <c r="B32" s="375" t="s">
        <v>599</v>
      </c>
      <c r="C32" s="399" t="s">
        <v>622</v>
      </c>
      <c r="D32" s="400">
        <v>14204.8</v>
      </c>
      <c r="E32" s="494">
        <v>42449</v>
      </c>
      <c r="F32" s="375" t="str">
        <f>IF(A32="Speich***",$B$7,IF(A32="Friess",$B$10,IF(A32="Mathis",$B$11)))</f>
        <v>MG</v>
      </c>
      <c r="G32" s="400">
        <f t="shared" si="10"/>
        <v>960</v>
      </c>
      <c r="H32" s="401">
        <v>1.42048</v>
      </c>
      <c r="I32" s="402">
        <f>IF(A32="Speich",$C$7,IF(A32="Friess",$C$10,IF(A32="Mathis",$C$11)))</f>
        <v>0.6</v>
      </c>
      <c r="J32" s="401">
        <f t="shared" si="11"/>
        <v>818.19647999999995</v>
      </c>
      <c r="K32" s="401">
        <f t="shared" si="5"/>
        <v>5.7599999999999998E-2</v>
      </c>
      <c r="L32" s="403">
        <f t="shared" si="12"/>
        <v>-32.267470588235291</v>
      </c>
      <c r="M32" s="495">
        <f t="shared" si="13"/>
        <v>2.0958126620324098E-2</v>
      </c>
      <c r="N32" s="448"/>
      <c r="O32" s="374" t="s">
        <v>598</v>
      </c>
      <c r="P32" s="404" t="s">
        <v>622</v>
      </c>
      <c r="Q32" s="405">
        <f t="shared" si="9"/>
        <v>1.6211163083152666E-2</v>
      </c>
      <c r="R32" s="406">
        <f t="shared" si="0"/>
        <v>14204.8</v>
      </c>
      <c r="S32" s="407">
        <f t="shared" si="1"/>
        <v>2.2567080277629561</v>
      </c>
      <c r="T32" s="408">
        <v>-25.65</v>
      </c>
      <c r="U32" s="476">
        <f t="shared" si="2"/>
        <v>3.6008486648944529E-2</v>
      </c>
      <c r="W32" s="365">
        <f t="shared" si="3"/>
        <v>820.45318802776296</v>
      </c>
      <c r="X32" s="384">
        <f t="shared" si="4"/>
        <v>2.7505628117403236E-3</v>
      </c>
      <c r="AA32" s="240" t="str">
        <f>A34</f>
        <v>Burger</v>
      </c>
      <c r="AB32" s="244" t="str">
        <f>C34</f>
        <v>T-17</v>
      </c>
      <c r="AC32" s="241">
        <f>D34</f>
        <v>1165.4301</v>
      </c>
      <c r="AD32" s="242">
        <v>42474</v>
      </c>
      <c r="AE32" s="241">
        <f>J34</f>
        <v>67.128767999999994</v>
      </c>
      <c r="AF32" s="241">
        <f t="shared" si="6"/>
        <v>5.8775505160835335</v>
      </c>
      <c r="AG32" s="241" t="s">
        <v>611</v>
      </c>
      <c r="AH32" s="241">
        <f>AF33*AC33/AJ43+AH24</f>
        <v>11.361759334465635</v>
      </c>
      <c r="AI32" s="333" t="s">
        <v>611</v>
      </c>
      <c r="AJ32" s="251">
        <f>AC33</f>
        <v>24869.1</v>
      </c>
      <c r="AK32" s="357"/>
      <c r="AL32" s="333" t="s">
        <v>611</v>
      </c>
      <c r="AM32" s="354">
        <f>AJ24+AJ32</f>
        <v>94205.500999999989</v>
      </c>
      <c r="AN32" s="231"/>
      <c r="AO32" s="237"/>
      <c r="AP32" s="254"/>
      <c r="AR32" s="227"/>
      <c r="AS32" s="239"/>
      <c r="AT32" s="227"/>
      <c r="AU32" s="238"/>
      <c r="AV32" s="238"/>
      <c r="AX32" s="352">
        <f>AX29/AX27</f>
        <v>0.38649395484865817</v>
      </c>
      <c r="AY32" s="352">
        <f t="shared" ref="AY32:AZ32" si="15">AY29/AY27</f>
        <v>0.32086019838481006</v>
      </c>
      <c r="AZ32" s="352">
        <f t="shared" si="15"/>
        <v>0.17645711983772852</v>
      </c>
      <c r="BA32" t="s">
        <v>768</v>
      </c>
    </row>
    <row r="33" spans="1:50" ht="15.95" thickBot="1" x14ac:dyDescent="0.25">
      <c r="A33" s="409" t="s">
        <v>783</v>
      </c>
      <c r="B33" s="353" t="s">
        <v>596</v>
      </c>
      <c r="C33" s="414" t="s">
        <v>624</v>
      </c>
      <c r="D33" s="410">
        <v>9383.6396000000004</v>
      </c>
      <c r="E33" s="499">
        <v>42515</v>
      </c>
      <c r="F33" s="353" t="s">
        <v>625</v>
      </c>
      <c r="G33" s="410">
        <f t="shared" si="10"/>
        <v>915</v>
      </c>
      <c r="H33" s="241">
        <v>0.93836399999999998</v>
      </c>
      <c r="I33" s="410">
        <v>2.1</v>
      </c>
      <c r="J33" s="241">
        <f t="shared" si="11"/>
        <v>1803.0664260000001</v>
      </c>
      <c r="K33" s="241">
        <f t="shared" si="5"/>
        <v>0.19215000819085165</v>
      </c>
      <c r="L33" s="415">
        <f t="shared" si="12"/>
        <v>-32.267470588235291</v>
      </c>
      <c r="M33" s="497">
        <f t="shared" si="13"/>
        <v>4.6185598917466909E-2</v>
      </c>
      <c r="N33" s="448"/>
      <c r="O33" s="357" t="s">
        <v>623</v>
      </c>
      <c r="P33" s="237" t="s">
        <v>624</v>
      </c>
      <c r="Q33" s="417">
        <f t="shared" si="9"/>
        <v>1.6211163083152666E-2</v>
      </c>
      <c r="R33" s="412">
        <f t="shared" si="0"/>
        <v>9383.6396000000004</v>
      </c>
      <c r="S33" s="411">
        <f t="shared" si="1"/>
        <v>1.4907731763174685</v>
      </c>
      <c r="T33" s="333">
        <v>-25.65</v>
      </c>
      <c r="U33" s="477">
        <f t="shared" si="2"/>
        <v>2.3787076287952468E-2</v>
      </c>
      <c r="W33" s="365">
        <f t="shared" si="3"/>
        <v>1804.5571991763175</v>
      </c>
      <c r="X33" s="384">
        <f t="shared" si="4"/>
        <v>8.2611577898330168E-4</v>
      </c>
      <c r="AA33" s="240" t="str">
        <f>A38</f>
        <v>Burger</v>
      </c>
      <c r="AB33" s="241" t="str">
        <f>C38</f>
        <v>S-13</v>
      </c>
      <c r="AC33" s="241">
        <f>D38</f>
        <v>24869.1</v>
      </c>
      <c r="AD33" s="242">
        <v>42474</v>
      </c>
      <c r="AE33" s="241">
        <f>J38</f>
        <v>1432.4601599999999</v>
      </c>
      <c r="AF33" s="241">
        <f t="shared" si="6"/>
        <v>5.8775510204081636</v>
      </c>
      <c r="AG33" s="241"/>
      <c r="AH33" s="241"/>
      <c r="AI33" s="333" t="s">
        <v>617</v>
      </c>
      <c r="AJ33" s="251">
        <f>SUM(AC26:AC31,AC33)</f>
        <v>81205.590200000006</v>
      </c>
      <c r="AK33" s="365">
        <f>AJ33+AK25</f>
        <v>208650.09220000001</v>
      </c>
      <c r="AL33" s="251"/>
      <c r="AM33" s="354"/>
      <c r="AN33" s="251"/>
      <c r="AO33" s="251"/>
      <c r="AP33" s="254"/>
      <c r="AR33" s="308"/>
      <c r="AS33" s="239"/>
      <c r="AT33" s="227"/>
      <c r="AU33" s="238"/>
      <c r="AV33" s="238"/>
    </row>
    <row r="34" spans="1:50" ht="15.95" thickBot="1" x14ac:dyDescent="0.25">
      <c r="A34" s="413" t="s">
        <v>626</v>
      </c>
      <c r="B34" s="353" t="s">
        <v>599</v>
      </c>
      <c r="C34" s="418" t="s">
        <v>627</v>
      </c>
      <c r="D34" s="410">
        <v>1165.4301</v>
      </c>
      <c r="E34" s="496">
        <v>42474</v>
      </c>
      <c r="F34" s="353" t="s">
        <v>601</v>
      </c>
      <c r="G34" s="410">
        <f t="shared" si="10"/>
        <v>960</v>
      </c>
      <c r="H34" s="241">
        <v>0.11654299999999999</v>
      </c>
      <c r="I34" s="410">
        <v>0.6</v>
      </c>
      <c r="J34" s="241">
        <f t="shared" si="11"/>
        <v>67.128767999999994</v>
      </c>
      <c r="K34" s="241">
        <f t="shared" si="5"/>
        <v>5.7599995057618633E-2</v>
      </c>
      <c r="L34" s="415">
        <f t="shared" si="12"/>
        <v>-32.267470588235291</v>
      </c>
      <c r="M34" s="497">
        <f t="shared" si="13"/>
        <v>1.7195053437657913E-3</v>
      </c>
      <c r="N34" s="448"/>
      <c r="O34" s="478" t="s">
        <v>626</v>
      </c>
      <c r="P34" s="416" t="s">
        <v>627</v>
      </c>
      <c r="Q34" s="417">
        <f>P80</f>
        <v>2.0499617162990518E-2</v>
      </c>
      <c r="R34" s="412">
        <f t="shared" si="0"/>
        <v>1165.4301</v>
      </c>
      <c r="S34" s="411">
        <f t="shared" si="1"/>
        <v>0.23413053462621239</v>
      </c>
      <c r="T34" s="333">
        <v>-25.65</v>
      </c>
      <c r="U34" s="477">
        <f t="shared" si="2"/>
        <v>3.7358338457968076E-3</v>
      </c>
      <c r="W34" s="365">
        <f t="shared" si="3"/>
        <v>67.362898534626211</v>
      </c>
      <c r="X34" s="384">
        <f t="shared" si="4"/>
        <v>3.4756600401608826E-3</v>
      </c>
      <c r="AA34" s="255" t="str">
        <f>A33</f>
        <v>Schmitt**</v>
      </c>
      <c r="AB34" s="256" t="str">
        <f>C33</f>
        <v>T-10</v>
      </c>
      <c r="AC34" s="256">
        <f>D33</f>
        <v>9383.6396000000004</v>
      </c>
      <c r="AD34" s="257">
        <f>E33</f>
        <v>42515</v>
      </c>
      <c r="AE34" s="256">
        <f>J33</f>
        <v>1803.0664260000001</v>
      </c>
      <c r="AF34" s="256">
        <f t="shared" si="6"/>
        <v>19.607143692944046</v>
      </c>
      <c r="AG34" s="256" t="s">
        <v>608</v>
      </c>
      <c r="AH34" s="256">
        <f>AF34*AC34/AJ42+AH31</f>
        <v>14.631880079169729</v>
      </c>
      <c r="AI34" s="336" t="s">
        <v>608</v>
      </c>
      <c r="AJ34" s="366">
        <f>AC34</f>
        <v>9383.6396000000004</v>
      </c>
      <c r="AK34" s="365">
        <f>AJ34+AK33</f>
        <v>218033.73180000001</v>
      </c>
      <c r="AL34" s="237"/>
      <c r="AM34" s="243"/>
      <c r="AN34" s="251"/>
      <c r="AO34" s="237"/>
      <c r="AP34" s="254"/>
      <c r="AR34" s="227"/>
      <c r="AS34" s="239"/>
      <c r="AT34" s="227"/>
      <c r="AU34" s="238"/>
      <c r="AV34" s="238"/>
      <c r="AW34" t="s">
        <v>754</v>
      </c>
      <c r="AX34" s="308">
        <f>(AX29+AY29)/AW27</f>
        <v>0.20497999943469941</v>
      </c>
    </row>
    <row r="35" spans="1:50" x14ac:dyDescent="0.2">
      <c r="A35" s="398" t="s">
        <v>598</v>
      </c>
      <c r="B35" s="375" t="s">
        <v>599</v>
      </c>
      <c r="C35" s="418" t="s">
        <v>628</v>
      </c>
      <c r="D35" s="400">
        <v>21751.5</v>
      </c>
      <c r="E35" s="494">
        <v>42449</v>
      </c>
      <c r="F35" s="375" t="str">
        <f t="shared" ref="F35:F36" si="16">IF(A35="Speich***",$B$7,IF(A35="Friess",$B$10,IF(A35="Mathis",$B$11)))</f>
        <v>MG</v>
      </c>
      <c r="G35" s="400">
        <f t="shared" si="10"/>
        <v>960</v>
      </c>
      <c r="H35" s="401">
        <v>2.1751499999999999</v>
      </c>
      <c r="I35" s="402">
        <f>IF(A35="Speich",$C$7,IF(A35="Friess",$C$10,IF(A35="Mathis",$C$11)))</f>
        <v>0.6</v>
      </c>
      <c r="J35" s="401">
        <f t="shared" si="11"/>
        <v>1252.8863999999999</v>
      </c>
      <c r="K35" s="401">
        <f t="shared" si="5"/>
        <v>5.7599999999999991E-2</v>
      </c>
      <c r="L35" s="403">
        <f t="shared" si="12"/>
        <v>-32.267470588235291</v>
      </c>
      <c r="M35" s="495">
        <f t="shared" si="13"/>
        <v>3.2092721557641049E-2</v>
      </c>
      <c r="N35" s="448"/>
      <c r="O35" s="374" t="s">
        <v>598</v>
      </c>
      <c r="P35" s="404" t="s">
        <v>628</v>
      </c>
      <c r="Q35" s="405">
        <f>P80</f>
        <v>2.0499617162990518E-2</v>
      </c>
      <c r="R35" s="406">
        <f t="shared" si="0"/>
        <v>21751.5</v>
      </c>
      <c r="S35" s="407">
        <f t="shared" si="1"/>
        <v>4.3697947426637249</v>
      </c>
      <c r="T35" s="408">
        <v>-25.65</v>
      </c>
      <c r="U35" s="476">
        <f t="shared" si="2"/>
        <v>6.9725322777272766E-2</v>
      </c>
      <c r="W35" s="365">
        <f t="shared" si="3"/>
        <v>1257.2561947426636</v>
      </c>
      <c r="X35" s="384">
        <f t="shared" si="4"/>
        <v>3.4756597429676126E-3</v>
      </c>
      <c r="AA35" s="240" t="str">
        <f>A39</f>
        <v>Friess</v>
      </c>
      <c r="AB35" s="369" t="str">
        <f>C39</f>
        <v>S-15</v>
      </c>
      <c r="AC35" s="369">
        <f>D39</f>
        <v>15697.6</v>
      </c>
      <c r="AD35" s="370">
        <v>42449</v>
      </c>
      <c r="AE35" s="369">
        <f>J39</f>
        <v>3013.9392000000003</v>
      </c>
      <c r="AF35" s="369">
        <f t="shared" si="6"/>
        <v>19.591836734693878</v>
      </c>
      <c r="AG35" s="241" t="s">
        <v>611</v>
      </c>
      <c r="AH35" s="241">
        <f>AH32+AF35*(AC35/AJ43)</f>
        <v>14.160086347336097</v>
      </c>
      <c r="AI35" s="333"/>
      <c r="AJ35" s="251"/>
      <c r="AK35" s="365"/>
      <c r="AL35" s="333" t="s">
        <v>605</v>
      </c>
      <c r="AM35" s="354">
        <f>AM30+AJ36</f>
        <v>101721.70199999999</v>
      </c>
      <c r="AN35" s="237"/>
      <c r="AO35" s="237"/>
      <c r="AR35" s="227"/>
      <c r="AS35" s="239"/>
      <c r="AT35" s="227"/>
      <c r="AU35" s="238"/>
      <c r="AV35" s="238"/>
      <c r="AW35" t="s">
        <v>765</v>
      </c>
      <c r="AX35" s="308">
        <f>(AX29+AY29+AZ29)/AW27</f>
        <v>0.28296489298808569</v>
      </c>
    </row>
    <row r="36" spans="1:50" x14ac:dyDescent="0.2">
      <c r="A36" s="398" t="s">
        <v>598</v>
      </c>
      <c r="B36" s="375" t="s">
        <v>599</v>
      </c>
      <c r="C36" s="399" t="s">
        <v>629</v>
      </c>
      <c r="D36" s="400">
        <v>15022.6</v>
      </c>
      <c r="E36" s="494">
        <v>42449</v>
      </c>
      <c r="F36" s="375" t="str">
        <f t="shared" si="16"/>
        <v>MG</v>
      </c>
      <c r="G36" s="400">
        <f t="shared" si="10"/>
        <v>960</v>
      </c>
      <c r="H36" s="401">
        <v>1.5022599999999999</v>
      </c>
      <c r="I36" s="402">
        <f>IF(A36="Speich",$C$7,IF(A36="Friess",$C$10,IF(A36="Mathis",$C$11)))</f>
        <v>0.6</v>
      </c>
      <c r="J36" s="401">
        <f t="shared" si="11"/>
        <v>865.30175999999994</v>
      </c>
      <c r="K36" s="401">
        <f t="shared" si="5"/>
        <v>5.7599999999999991E-2</v>
      </c>
      <c r="L36" s="403">
        <f t="shared" si="12"/>
        <v>-32.267470588235291</v>
      </c>
      <c r="M36" s="495">
        <f t="shared" si="13"/>
        <v>2.2164729736883364E-2</v>
      </c>
      <c r="N36" s="448"/>
      <c r="O36" s="374" t="s">
        <v>598</v>
      </c>
      <c r="P36" s="404" t="s">
        <v>629</v>
      </c>
      <c r="Q36" s="405">
        <f>T107</f>
        <v>3.9399324434441815E-2</v>
      </c>
      <c r="R36" s="406">
        <f t="shared" si="0"/>
        <v>15022.6</v>
      </c>
      <c r="S36" s="407">
        <f t="shared" si="1"/>
        <v>5.8004268542386868</v>
      </c>
      <c r="T36" s="408">
        <v>-25.65</v>
      </c>
      <c r="U36" s="476">
        <f t="shared" si="2"/>
        <v>9.2552776154245217E-2</v>
      </c>
      <c r="W36" s="365">
        <f t="shared" si="3"/>
        <v>871.10218685423865</v>
      </c>
      <c r="X36" s="384">
        <f t="shared" si="4"/>
        <v>6.6587214930379588E-3</v>
      </c>
      <c r="AA36" s="240" t="str">
        <f>A20</f>
        <v>Speich***</v>
      </c>
      <c r="AB36" s="241" t="str">
        <f>C20</f>
        <v>N-1</v>
      </c>
      <c r="AC36" s="241">
        <f>D20</f>
        <v>17140.800999999999</v>
      </c>
      <c r="AD36" s="242">
        <f>E20</f>
        <v>42527</v>
      </c>
      <c r="AE36" s="241">
        <f>J20</f>
        <v>3291.0336000000002</v>
      </c>
      <c r="AF36" s="241">
        <f t="shared" si="6"/>
        <v>19.591835591699642</v>
      </c>
      <c r="AG36" s="241"/>
      <c r="AH36" s="241"/>
      <c r="AI36" s="333" t="s">
        <v>605</v>
      </c>
      <c r="AJ36" s="251">
        <f>AC36</f>
        <v>17140.800999999999</v>
      </c>
      <c r="AK36" s="357"/>
      <c r="AL36" s="333" t="s">
        <v>608</v>
      </c>
      <c r="AM36" s="354">
        <f>AM31+AJ34</f>
        <v>39247.3298</v>
      </c>
      <c r="AN36" s="237"/>
      <c r="AO36" s="237"/>
      <c r="AP36" s="254"/>
      <c r="AR36" s="227"/>
      <c r="AS36" s="239"/>
      <c r="AT36" s="227"/>
      <c r="AU36" s="238"/>
      <c r="AV36" s="238"/>
    </row>
    <row r="37" spans="1:50" x14ac:dyDescent="0.2">
      <c r="A37" s="398" t="s">
        <v>777</v>
      </c>
      <c r="B37" s="375" t="s">
        <v>599</v>
      </c>
      <c r="C37" s="399" t="s">
        <v>631</v>
      </c>
      <c r="D37" s="400">
        <v>54313.800999999999</v>
      </c>
      <c r="E37" s="494">
        <f>E21</f>
        <v>42449</v>
      </c>
      <c r="F37" s="375" t="str">
        <f>IF(A37="Speich***",$B$7,IF(A37="Friess",$B$10,IF(A37="Mathis*",$B$11)))</f>
        <v>MG*</v>
      </c>
      <c r="G37" s="400">
        <f t="shared" si="10"/>
        <v>915</v>
      </c>
      <c r="H37" s="401">
        <v>5.4313799999999999</v>
      </c>
      <c r="I37" s="402">
        <f>IF(A37="Speich",$C$7,IF(A37="Friess",$C$10,IF(A37="Mathis*",$C$11)))</f>
        <v>2</v>
      </c>
      <c r="J37" s="401">
        <f t="shared" si="11"/>
        <v>9939.4254000000001</v>
      </c>
      <c r="K37" s="401">
        <f t="shared" si="5"/>
        <v>0.18299999663069061</v>
      </c>
      <c r="L37" s="403">
        <f t="shared" si="12"/>
        <v>-32.267470588235291</v>
      </c>
      <c r="M37" s="495">
        <f t="shared" si="13"/>
        <v>0.25459867056194807</v>
      </c>
      <c r="N37" s="448"/>
      <c r="O37" s="374" t="s">
        <v>630</v>
      </c>
      <c r="P37" s="404" t="s">
        <v>631</v>
      </c>
      <c r="Q37" s="405">
        <f>T108</f>
        <v>2.0615345325742124E-2</v>
      </c>
      <c r="R37" s="406">
        <f t="shared" si="0"/>
        <v>54313.800999999999</v>
      </c>
      <c r="S37" s="407">
        <f t="shared" si="1"/>
        <v>10.973038082972653</v>
      </c>
      <c r="T37" s="408">
        <v>-25.65</v>
      </c>
      <c r="U37" s="476">
        <f t="shared" si="2"/>
        <v>0.17508800006386302</v>
      </c>
      <c r="W37" s="365">
        <f t="shared" si="3"/>
        <v>9950.3984380829734</v>
      </c>
      <c r="X37" s="384">
        <f t="shared" si="4"/>
        <v>1.1027737382832581E-3</v>
      </c>
      <c r="AA37" s="240" t="str">
        <f>A27</f>
        <v>Mahler*</v>
      </c>
      <c r="AB37" s="244" t="str">
        <f>C27</f>
        <v>N-19</v>
      </c>
      <c r="AC37" s="241">
        <f>D27</f>
        <v>10682.2</v>
      </c>
      <c r="AD37" s="242">
        <f>E27</f>
        <v>42527</v>
      </c>
      <c r="AE37" s="241">
        <f>J27</f>
        <v>2050.9823999999999</v>
      </c>
      <c r="AF37" s="241">
        <f t="shared" si="6"/>
        <v>19.591836734693874</v>
      </c>
      <c r="AG37" s="241" t="s">
        <v>605</v>
      </c>
      <c r="AH37" s="241">
        <f>AF36*AC36/AJ41+AH30</f>
        <v>13.672723788025856</v>
      </c>
      <c r="AI37" s="371" t="s">
        <v>611</v>
      </c>
      <c r="AJ37" s="372">
        <f>AC38</f>
        <v>6040.2201999999997</v>
      </c>
      <c r="AK37" s="357"/>
      <c r="AL37" s="333" t="s">
        <v>611</v>
      </c>
      <c r="AM37" s="354">
        <f>AM32+AJ37</f>
        <v>100245.72119999999</v>
      </c>
      <c r="AN37" s="251"/>
      <c r="AO37" s="237"/>
      <c r="AP37" s="254"/>
      <c r="AR37" s="227"/>
      <c r="AS37" s="239"/>
      <c r="AT37" s="227"/>
      <c r="AU37" s="238"/>
      <c r="AV37" s="238"/>
    </row>
    <row r="38" spans="1:50" ht="15.95" thickBot="1" x14ac:dyDescent="0.25">
      <c r="A38" s="413" t="s">
        <v>626</v>
      </c>
      <c r="B38" s="353" t="s">
        <v>599</v>
      </c>
      <c r="C38" s="414" t="s">
        <v>632</v>
      </c>
      <c r="D38" s="410">
        <v>24869.1</v>
      </c>
      <c r="E38" s="496">
        <v>42474</v>
      </c>
      <c r="F38" s="353" t="s">
        <v>601</v>
      </c>
      <c r="G38" s="410">
        <f t="shared" si="10"/>
        <v>960</v>
      </c>
      <c r="H38" s="241">
        <v>2.48691</v>
      </c>
      <c r="I38" s="410">
        <v>0.6</v>
      </c>
      <c r="J38" s="241">
        <f>G38*H38*I38</f>
        <v>1432.4601599999999</v>
      </c>
      <c r="K38" s="241">
        <f t="shared" si="5"/>
        <v>5.7599999999999998E-2</v>
      </c>
      <c r="L38" s="415">
        <f t="shared" si="12"/>
        <v>-32.267470588235291</v>
      </c>
      <c r="M38" s="497">
        <f t="shared" si="13"/>
        <v>3.6692508640283707E-2</v>
      </c>
      <c r="N38" s="448"/>
      <c r="O38" s="478" t="s">
        <v>626</v>
      </c>
      <c r="P38" s="416" t="s">
        <v>632</v>
      </c>
      <c r="Q38" s="417">
        <f>T109</f>
        <v>2.5543048876060039E-2</v>
      </c>
      <c r="R38" s="412">
        <f t="shared" si="0"/>
        <v>24869.1</v>
      </c>
      <c r="S38" s="411">
        <f t="shared" si="1"/>
        <v>6.2252798406755216</v>
      </c>
      <c r="T38" s="333">
        <v>-25.65</v>
      </c>
      <c r="U38" s="477">
        <f t="shared" si="2"/>
        <v>9.933181575603188E-2</v>
      </c>
      <c r="W38" s="365">
        <f t="shared" si="3"/>
        <v>1438.6854398406754</v>
      </c>
      <c r="X38" s="384">
        <f t="shared" si="4"/>
        <v>4.3270611269722236E-3</v>
      </c>
      <c r="AA38" s="246" t="str">
        <f>A40</f>
        <v>Speich***</v>
      </c>
      <c r="AB38" s="364" t="str">
        <f>C40</f>
        <v>S-70</v>
      </c>
      <c r="AC38" s="247">
        <f>D40</f>
        <v>6040.2201999999997</v>
      </c>
      <c r="AD38" s="248">
        <f>E40</f>
        <v>42527</v>
      </c>
      <c r="AE38" s="247">
        <f>J40</f>
        <v>1159.7222399999998</v>
      </c>
      <c r="AF38" s="247">
        <f t="shared" si="6"/>
        <v>19.59183608598121</v>
      </c>
      <c r="AG38" s="247"/>
      <c r="AH38" s="247"/>
      <c r="AI38" s="249" t="s">
        <v>617</v>
      </c>
      <c r="AJ38" s="363">
        <f>SUM(AJ36:AJ37)</f>
        <v>23181.021199999999</v>
      </c>
      <c r="AK38" s="362">
        <f>AJ38+AK34</f>
        <v>241214.753</v>
      </c>
      <c r="AL38" s="363"/>
      <c r="AM38" s="250"/>
    </row>
    <row r="39" spans="1:50" x14ac:dyDescent="0.2">
      <c r="A39" s="419" t="s">
        <v>598</v>
      </c>
      <c r="B39" s="420" t="s">
        <v>596</v>
      </c>
      <c r="C39" s="421" t="s">
        <v>633</v>
      </c>
      <c r="D39" s="422">
        <v>15697.6</v>
      </c>
      <c r="E39" s="500">
        <v>42449</v>
      </c>
      <c r="F39" s="420" t="str">
        <f>IF(A39="Speich",$B$7,IF(A39="Friess",$B$10,IF(A39="Mathis",$B$11)))</f>
        <v>MG</v>
      </c>
      <c r="G39" s="422">
        <f t="shared" si="10"/>
        <v>960</v>
      </c>
      <c r="H39" s="423">
        <v>1.56976</v>
      </c>
      <c r="I39" s="424">
        <f>IF(F39="MG",$D$4,IF(F39="DG",D3))</f>
        <v>2</v>
      </c>
      <c r="J39" s="423">
        <f t="shared" si="11"/>
        <v>3013.9392000000003</v>
      </c>
      <c r="K39" s="423">
        <f t="shared" si="5"/>
        <v>0.192</v>
      </c>
      <c r="L39" s="425">
        <f t="shared" si="12"/>
        <v>-32.267470588235291</v>
      </c>
      <c r="M39" s="501">
        <f t="shared" si="13"/>
        <v>7.720214022377403E-2</v>
      </c>
      <c r="N39" s="448"/>
      <c r="O39" s="479" t="s">
        <v>598</v>
      </c>
      <c r="P39" s="426" t="s">
        <v>633</v>
      </c>
      <c r="Q39" s="427">
        <f>P81</f>
        <v>2.851923954541466E-2</v>
      </c>
      <c r="R39" s="428">
        <f t="shared" si="0"/>
        <v>15697.6</v>
      </c>
      <c r="S39" s="429">
        <f t="shared" si="1"/>
        <v>4.387299423943392</v>
      </c>
      <c r="T39" s="430">
        <v>-25.65</v>
      </c>
      <c r="U39" s="480">
        <f t="shared" si="2"/>
        <v>7.0004630988347694E-2</v>
      </c>
      <c r="W39" s="365">
        <f t="shared" si="3"/>
        <v>3018.3264994239435</v>
      </c>
      <c r="X39" s="384">
        <f t="shared" si="4"/>
        <v>1.4535536247588592E-3</v>
      </c>
      <c r="AP39" s="238"/>
      <c r="AQ39" s="49"/>
    </row>
    <row r="40" spans="1:50" ht="15.95" thickBot="1" x14ac:dyDescent="0.25">
      <c r="A40" s="431" t="s">
        <v>782</v>
      </c>
      <c r="B40" s="432" t="s">
        <v>596</v>
      </c>
      <c r="C40" s="433" t="s">
        <v>637</v>
      </c>
      <c r="D40" s="434">
        <v>6040.2201999999997</v>
      </c>
      <c r="E40" s="502">
        <v>42527</v>
      </c>
      <c r="F40" s="432" t="str">
        <f>IF(A40="Speich***",$B$7,IF(A40="Friess",$B$10,IF(A40="Mathis",$B$11)))</f>
        <v>MG</v>
      </c>
      <c r="G40" s="434">
        <f t="shared" si="10"/>
        <v>960</v>
      </c>
      <c r="H40" s="435">
        <v>0.60402199999999995</v>
      </c>
      <c r="I40" s="436">
        <f>IF(A40="Speich***",$C$7,IF(A40="Friess",$C$10,IF(A40="Mathis",$C$11)))</f>
        <v>2</v>
      </c>
      <c r="J40" s="435">
        <f t="shared" si="11"/>
        <v>1159.7222399999998</v>
      </c>
      <c r="K40" s="435">
        <f t="shared" si="5"/>
        <v>0.19199999364261586</v>
      </c>
      <c r="L40" s="437">
        <f t="shared" si="12"/>
        <v>-32.267470588235291</v>
      </c>
      <c r="M40" s="503">
        <f t="shared" si="13"/>
        <v>2.9706318890941562E-2</v>
      </c>
      <c r="N40" s="448"/>
      <c r="O40" s="481" t="s">
        <v>595</v>
      </c>
      <c r="P40" s="438" t="s">
        <v>637</v>
      </c>
      <c r="Q40" s="439">
        <f>P81</f>
        <v>2.851923954541466E-2</v>
      </c>
      <c r="R40" s="440">
        <v>6040.2201999999997</v>
      </c>
      <c r="S40" s="441">
        <f t="shared" si="1"/>
        <v>1.6881723705503542</v>
      </c>
      <c r="T40" s="442">
        <v>-25.65</v>
      </c>
      <c r="U40" s="482">
        <f t="shared" si="2"/>
        <v>2.6936817487346075E-2</v>
      </c>
      <c r="W40" s="362">
        <f t="shared" si="3"/>
        <v>1161.4104123705501</v>
      </c>
      <c r="X40" s="385">
        <f t="shared" si="4"/>
        <v>1.453553672818063E-3</v>
      </c>
      <c r="AD40" t="s">
        <v>634</v>
      </c>
      <c r="AE40" t="s">
        <v>635</v>
      </c>
      <c r="AJ40" t="s">
        <v>636</v>
      </c>
      <c r="AN40" s="238"/>
      <c r="AO40" s="231"/>
      <c r="AQ40" s="49"/>
    </row>
    <row r="41" spans="1:50" x14ac:dyDescent="0.2">
      <c r="A41" s="448"/>
      <c r="B41" s="448"/>
      <c r="C41" s="448"/>
      <c r="D41" s="467">
        <f>SUM(D20:D40)</f>
        <v>331314.2932999999</v>
      </c>
      <c r="E41" s="453"/>
      <c r="F41" s="459"/>
      <c r="G41" s="454"/>
      <c r="H41" s="459"/>
      <c r="I41" s="483" t="s">
        <v>640</v>
      </c>
      <c r="J41" s="484">
        <f>SUM(J20:J40)</f>
        <v>39039.580913999998</v>
      </c>
      <c r="K41" s="484"/>
      <c r="L41" s="459"/>
      <c r="M41" s="485"/>
      <c r="N41" s="448"/>
      <c r="O41" s="453"/>
      <c r="P41" s="459"/>
      <c r="Q41" s="459"/>
      <c r="R41" s="483" t="s">
        <v>640</v>
      </c>
      <c r="S41" s="484">
        <f>SUM(S20:S40)</f>
        <v>62.671559895425489</v>
      </c>
      <c r="T41" s="459"/>
      <c r="U41" s="485"/>
      <c r="AA41" s="254" t="s">
        <v>638</v>
      </c>
      <c r="AE41" t="e">
        <f>(AE47/10000/AQ40)*100</f>
        <v>#DIV/0!</v>
      </c>
      <c r="AF41" s="231"/>
      <c r="AG41" s="231"/>
      <c r="AH41" s="231"/>
      <c r="AI41" s="238" t="s">
        <v>199</v>
      </c>
      <c r="AJ41" s="231">
        <f>SUM(AC20,AC26:AC28,AC36)</f>
        <v>101721.70200000002</v>
      </c>
      <c r="AK41" s="308">
        <f>AJ41/$AJ$44</f>
        <v>0.40547230521253019</v>
      </c>
      <c r="AL41" s="238"/>
      <c r="AM41" s="238"/>
      <c r="AO41" s="231"/>
    </row>
    <row r="42" spans="1:50" x14ac:dyDescent="0.2">
      <c r="A42" s="448"/>
      <c r="B42" s="448"/>
      <c r="C42" s="448"/>
      <c r="D42" s="448"/>
      <c r="E42" s="453"/>
      <c r="F42" s="459"/>
      <c r="G42" s="454"/>
      <c r="H42" s="489"/>
      <c r="I42" s="489" t="s">
        <v>641</v>
      </c>
      <c r="J42" s="454"/>
      <c r="K42" s="454"/>
      <c r="L42" s="504"/>
      <c r="M42" s="505"/>
      <c r="N42" s="448"/>
      <c r="O42" s="486"/>
      <c r="P42" s="487"/>
      <c r="Q42" s="488"/>
      <c r="R42" s="489" t="s">
        <v>642</v>
      </c>
      <c r="S42" s="459"/>
      <c r="T42" s="490">
        <f>T40*SUM(U20:U40)</f>
        <v>-25.65</v>
      </c>
      <c r="U42" s="485"/>
      <c r="V42" s="230" t="s">
        <v>640</v>
      </c>
      <c r="W42" s="209">
        <f>SUM(W20:W40)</f>
        <v>39102.252473895416</v>
      </c>
      <c r="AA42" s="231" t="str">
        <f>O39</f>
        <v>Friess</v>
      </c>
      <c r="AB42" s="231" t="str">
        <f>P39</f>
        <v>S-15</v>
      </c>
      <c r="AC42" s="231"/>
      <c r="AD42" s="231">
        <f>Q39</f>
        <v>2.851923954541466E-2</v>
      </c>
      <c r="AE42" s="231">
        <f>R39</f>
        <v>15697.6</v>
      </c>
      <c r="AF42" s="231"/>
      <c r="AG42" s="231"/>
      <c r="AH42" s="231"/>
      <c r="AI42" t="s">
        <v>200</v>
      </c>
      <c r="AJ42" s="231">
        <f>SUM(AC21,AC29:AC31,AC34)</f>
        <v>39247.3298</v>
      </c>
      <c r="AK42" s="308">
        <f t="shared" ref="AK42:AK43" si="17">AJ42/$AJ$44</f>
        <v>0.15644356095656392</v>
      </c>
      <c r="AO42" s="231"/>
    </row>
    <row r="43" spans="1:50" ht="15.95" thickBot="1" x14ac:dyDescent="0.25">
      <c r="A43" s="448"/>
      <c r="B43" s="448"/>
      <c r="C43" s="448"/>
      <c r="D43" s="448"/>
      <c r="E43" s="453"/>
      <c r="F43" s="459"/>
      <c r="G43" s="459"/>
      <c r="H43" s="459"/>
      <c r="I43" s="454"/>
      <c r="J43" s="454"/>
      <c r="K43" s="459"/>
      <c r="L43" s="459"/>
      <c r="M43" s="485"/>
      <c r="N43" s="448"/>
      <c r="O43" s="453"/>
      <c r="P43" s="459"/>
      <c r="Q43" s="459"/>
      <c r="R43" s="459"/>
      <c r="S43" s="459"/>
      <c r="T43" s="459"/>
      <c r="U43" s="485"/>
      <c r="V43" t="s">
        <v>639</v>
      </c>
      <c r="X43" s="258">
        <f>AVERAGE(X20:X21,X23,X25:X28,X30:X40)</f>
        <v>1.8746690905077242E-3</v>
      </c>
      <c r="Z43" t="s">
        <v>138</v>
      </c>
      <c r="AA43" s="231" t="str">
        <f>O34</f>
        <v>Burger</v>
      </c>
      <c r="AB43" s="231" t="str">
        <f>P34</f>
        <v>T-17</v>
      </c>
      <c r="AC43" s="231"/>
      <c r="AD43" s="231">
        <f>Q34</f>
        <v>2.0499617162990518E-2</v>
      </c>
      <c r="AE43" s="231">
        <f>R34</f>
        <v>1165.4301</v>
      </c>
      <c r="AF43" s="231"/>
      <c r="AG43" s="231"/>
      <c r="AH43" s="231"/>
      <c r="AI43" t="s">
        <v>201</v>
      </c>
      <c r="AJ43" s="231">
        <f>SUM(AC23,AC25,AC33,AC35)</f>
        <v>109903.101</v>
      </c>
      <c r="AK43" s="308">
        <f t="shared" si="17"/>
        <v>0.43808413383090583</v>
      </c>
    </row>
    <row r="44" spans="1:50" s="373" customFormat="1" ht="15.95" thickBot="1" x14ac:dyDescent="0.25">
      <c r="A44" s="468" t="s">
        <v>743</v>
      </c>
      <c r="B44" s="463"/>
      <c r="C44" s="463"/>
      <c r="D44" s="463"/>
      <c r="E44" s="468"/>
      <c r="F44" s="469"/>
      <c r="G44" s="463"/>
      <c r="H44" s="463"/>
      <c r="I44" s="463"/>
      <c r="J44" s="463"/>
      <c r="K44" s="463"/>
      <c r="L44" s="463"/>
      <c r="M44" s="464"/>
      <c r="N44" s="448"/>
      <c r="O44" s="468"/>
      <c r="P44" s="463"/>
      <c r="Q44" s="463"/>
      <c r="R44" s="463"/>
      <c r="S44" s="463"/>
      <c r="T44" s="463"/>
      <c r="U44" s="464"/>
      <c r="AA44" s="443" t="str">
        <f>O27</f>
        <v>Mahler</v>
      </c>
      <c r="AB44" s="443" t="str">
        <f>P27</f>
        <v>N-19</v>
      </c>
      <c r="AC44" s="443"/>
      <c r="AD44" s="443">
        <f>Q27</f>
        <v>1.8293100230621178E-2</v>
      </c>
      <c r="AE44" s="443">
        <f>R27</f>
        <v>10682.2</v>
      </c>
      <c r="AF44" s="443"/>
      <c r="AG44" s="443"/>
      <c r="AH44" s="443"/>
      <c r="AI44" s="444" t="s">
        <v>755</v>
      </c>
      <c r="AJ44" s="445">
        <f>SUM(AJ41:AJ43)</f>
        <v>250872.13280000002</v>
      </c>
      <c r="AK44" s="373" t="s">
        <v>766</v>
      </c>
    </row>
    <row r="45" spans="1:50" ht="15.95" thickBot="1" x14ac:dyDescent="0.25">
      <c r="A45" s="468" t="s">
        <v>781</v>
      </c>
      <c r="B45" s="463"/>
      <c r="C45" s="463"/>
      <c r="D45" s="463"/>
      <c r="E45" s="468"/>
      <c r="F45" s="469"/>
      <c r="G45" s="463"/>
      <c r="H45" s="463"/>
      <c r="I45" s="463"/>
      <c r="J45" s="463"/>
      <c r="K45" s="463"/>
      <c r="L45" s="463"/>
      <c r="M45" s="464"/>
      <c r="N45" s="448"/>
      <c r="O45" s="468"/>
      <c r="P45" s="463"/>
      <c r="Q45" s="463"/>
      <c r="R45" s="463"/>
      <c r="S45" s="463"/>
      <c r="T45" s="463"/>
      <c r="U45" s="464"/>
      <c r="AA45" s="231" t="str">
        <f>O40</f>
        <v>Speich</v>
      </c>
      <c r="AB45" s="231" t="str">
        <f>P40</f>
        <v>S-70</v>
      </c>
      <c r="AC45" s="231"/>
      <c r="AD45" s="231">
        <f>Q40</f>
        <v>2.851923954541466E-2</v>
      </c>
      <c r="AE45" s="231">
        <f>R40</f>
        <v>6040.2201999999997</v>
      </c>
      <c r="AF45" s="231"/>
      <c r="AG45" s="231"/>
      <c r="AH45" s="231"/>
    </row>
    <row r="46" spans="1:50" ht="15.95" thickBot="1" x14ac:dyDescent="0.25">
      <c r="A46" s="456" t="s">
        <v>742</v>
      </c>
      <c r="B46" s="470"/>
      <c r="C46" s="470"/>
      <c r="D46" s="471"/>
      <c r="E46" s="456"/>
      <c r="F46" s="470"/>
      <c r="G46" s="470"/>
      <c r="H46" s="470"/>
      <c r="I46" s="457"/>
      <c r="J46" s="457"/>
      <c r="K46" s="457"/>
      <c r="L46" s="457"/>
      <c r="M46" s="458"/>
      <c r="N46" s="448"/>
      <c r="O46" s="491"/>
      <c r="P46" s="457"/>
      <c r="Q46" s="457"/>
      <c r="R46" s="457"/>
      <c r="S46" s="457"/>
      <c r="T46" s="457"/>
      <c r="U46" s="458"/>
      <c r="AA46" s="231" t="str">
        <f>O35</f>
        <v>Friess</v>
      </c>
      <c r="AB46" s="231" t="str">
        <f>P35</f>
        <v>T-43</v>
      </c>
      <c r="AC46" s="231"/>
      <c r="AD46" s="231">
        <f>Q35</f>
        <v>2.0499617162990518E-2</v>
      </c>
      <c r="AE46" s="231">
        <f>R35</f>
        <v>21751.5</v>
      </c>
      <c r="AF46" s="259"/>
      <c r="AG46" s="259"/>
      <c r="AH46" s="259"/>
    </row>
    <row r="47" spans="1:50" ht="15.95" thickBot="1" x14ac:dyDescent="0.25">
      <c r="AA47" s="231"/>
      <c r="AB47" s="231"/>
      <c r="AC47" s="259"/>
      <c r="AD47" s="50" t="s">
        <v>617</v>
      </c>
      <c r="AE47" s="259">
        <f>SUM(AE42:AE46)</f>
        <v>55336.950299999997</v>
      </c>
      <c r="AF47" s="231"/>
      <c r="AG47" s="231"/>
      <c r="AH47" s="231"/>
    </row>
    <row r="48" spans="1:50" x14ac:dyDescent="0.2">
      <c r="A48" s="460" t="s">
        <v>643</v>
      </c>
      <c r="B48" s="447"/>
      <c r="C48" s="447"/>
      <c r="D48" s="447"/>
      <c r="E48" s="447"/>
      <c r="F48" s="447"/>
      <c r="G48" s="447"/>
      <c r="H48" s="447"/>
      <c r="I48" s="506"/>
      <c r="J48" s="506"/>
      <c r="K48" s="447"/>
      <c r="L48" s="447"/>
      <c r="M48" s="461"/>
      <c r="AO48" s="262"/>
    </row>
    <row r="49" spans="1:51" x14ac:dyDescent="0.2">
      <c r="A49" s="453" t="s">
        <v>784</v>
      </c>
      <c r="B49" s="483">
        <v>-33.234000000000002</v>
      </c>
      <c r="C49" s="459"/>
      <c r="D49" s="459"/>
      <c r="E49" s="459"/>
      <c r="F49" s="459"/>
      <c r="G49" s="459"/>
      <c r="H49" s="459"/>
      <c r="I49" s="454"/>
      <c r="J49" s="454"/>
      <c r="K49" s="459"/>
      <c r="L49" s="459"/>
      <c r="M49" s="485"/>
    </row>
    <row r="50" spans="1:51" x14ac:dyDescent="0.2">
      <c r="A50" s="453" t="s">
        <v>785</v>
      </c>
      <c r="B50" s="483">
        <v>-32.963999999999999</v>
      </c>
      <c r="C50" s="459"/>
      <c r="D50" s="459"/>
      <c r="E50" s="459"/>
      <c r="F50" s="459"/>
      <c r="G50" s="459"/>
      <c r="H50" s="459"/>
      <c r="I50" s="454"/>
      <c r="J50" s="454"/>
      <c r="K50" s="459"/>
      <c r="L50" s="459"/>
      <c r="M50" s="485"/>
    </row>
    <row r="51" spans="1:51" x14ac:dyDescent="0.2">
      <c r="A51" s="453" t="s">
        <v>786</v>
      </c>
      <c r="B51" s="483">
        <v>-32.679000000000002</v>
      </c>
      <c r="C51" s="459"/>
      <c r="D51" s="459"/>
      <c r="E51" s="459"/>
      <c r="F51" s="459"/>
      <c r="G51" s="459"/>
      <c r="H51" s="459"/>
      <c r="I51" s="454"/>
      <c r="J51" s="454"/>
      <c r="K51" s="459"/>
      <c r="L51" s="459"/>
      <c r="M51" s="485"/>
    </row>
    <row r="52" spans="1:51" x14ac:dyDescent="0.2">
      <c r="A52" s="453" t="s">
        <v>787</v>
      </c>
      <c r="B52" s="483">
        <v>-32.697000000000003</v>
      </c>
      <c r="C52" s="459"/>
      <c r="D52" s="459"/>
      <c r="E52" s="459"/>
      <c r="F52" s="459"/>
      <c r="G52" s="459"/>
      <c r="H52" s="459"/>
      <c r="I52" s="454"/>
      <c r="J52" s="454"/>
      <c r="K52" s="459"/>
      <c r="L52" s="459"/>
      <c r="M52" s="485"/>
    </row>
    <row r="53" spans="1:51" x14ac:dyDescent="0.2">
      <c r="A53" s="453" t="s">
        <v>788</v>
      </c>
      <c r="B53" s="483">
        <v>-32.427</v>
      </c>
      <c r="C53" s="459"/>
      <c r="D53" s="459"/>
      <c r="E53" s="459"/>
      <c r="F53" s="459"/>
      <c r="G53" s="459"/>
      <c r="H53" s="459"/>
      <c r="I53" s="454"/>
      <c r="J53" s="454"/>
      <c r="K53" s="459"/>
      <c r="L53" s="459"/>
      <c r="M53" s="485"/>
    </row>
    <row r="54" spans="1:51" x14ac:dyDescent="0.2">
      <c r="A54" s="453" t="s">
        <v>789</v>
      </c>
      <c r="B54" s="483">
        <v>-32.283999999999999</v>
      </c>
      <c r="C54" s="459"/>
      <c r="D54" s="459"/>
      <c r="E54" s="459"/>
      <c r="F54" s="459"/>
      <c r="G54" s="459"/>
      <c r="H54" s="459"/>
      <c r="I54" s="454"/>
      <c r="J54" s="454"/>
      <c r="K54" s="459"/>
      <c r="L54" s="459"/>
      <c r="M54" s="485"/>
    </row>
    <row r="55" spans="1:51" x14ac:dyDescent="0.2">
      <c r="A55" s="453" t="s">
        <v>790</v>
      </c>
      <c r="B55" s="483">
        <v>-32.448</v>
      </c>
      <c r="C55" s="459"/>
      <c r="D55" s="459"/>
      <c r="E55" s="459"/>
      <c r="F55" s="459"/>
      <c r="G55" s="459"/>
      <c r="H55" s="459"/>
      <c r="I55" s="454"/>
      <c r="J55" s="454"/>
      <c r="K55" s="459"/>
      <c r="L55" s="459"/>
      <c r="M55" s="485"/>
    </row>
    <row r="56" spans="1:51" x14ac:dyDescent="0.2">
      <c r="A56" s="453" t="s">
        <v>791</v>
      </c>
      <c r="B56" s="483">
        <v>-32.317999999999998</v>
      </c>
      <c r="C56" s="459"/>
      <c r="D56" s="459"/>
      <c r="E56" s="459"/>
      <c r="F56" s="459"/>
      <c r="G56" s="459"/>
      <c r="H56" s="459"/>
      <c r="I56" s="454"/>
      <c r="J56" s="454"/>
      <c r="K56" s="459"/>
      <c r="L56" s="459"/>
      <c r="M56" s="485"/>
    </row>
    <row r="57" spans="1:51" x14ac:dyDescent="0.25">
      <c r="A57" s="453" t="s">
        <v>792</v>
      </c>
      <c r="B57" s="483">
        <v>-32.152999999999999</v>
      </c>
      <c r="C57" s="459"/>
      <c r="D57" s="459"/>
      <c r="E57" s="459"/>
      <c r="F57" s="459"/>
      <c r="G57" s="459"/>
      <c r="H57" s="459"/>
      <c r="I57" s="454"/>
      <c r="J57" s="454"/>
      <c r="K57" s="459"/>
      <c r="L57" s="459"/>
      <c r="M57" s="485"/>
    </row>
    <row r="58" spans="1:51" x14ac:dyDescent="0.25">
      <c r="A58" s="453" t="s">
        <v>793</v>
      </c>
      <c r="B58" s="483">
        <v>-31.581</v>
      </c>
      <c r="C58" s="459"/>
      <c r="D58" s="459"/>
      <c r="E58" s="459"/>
      <c r="F58" s="459"/>
      <c r="G58" s="459"/>
      <c r="H58" s="459"/>
      <c r="I58" s="454"/>
      <c r="J58" s="454"/>
      <c r="K58" s="459"/>
      <c r="L58" s="459"/>
      <c r="M58" s="485"/>
    </row>
    <row r="59" spans="1:51" x14ac:dyDescent="0.25">
      <c r="A59" s="453" t="s">
        <v>794</v>
      </c>
      <c r="B59" s="483">
        <v>-31.687999999999999</v>
      </c>
      <c r="C59" s="459"/>
      <c r="D59" s="459"/>
      <c r="E59" s="459"/>
      <c r="F59" s="459"/>
      <c r="G59" s="459"/>
      <c r="H59" s="459"/>
      <c r="I59" s="454"/>
      <c r="J59" s="454"/>
      <c r="K59" s="459"/>
      <c r="L59" s="459"/>
      <c r="M59" s="485"/>
    </row>
    <row r="60" spans="1:51" x14ac:dyDescent="0.25">
      <c r="A60" s="453" t="s">
        <v>795</v>
      </c>
      <c r="B60" s="483">
        <v>-31.645</v>
      </c>
      <c r="C60" s="459"/>
      <c r="D60" s="459"/>
      <c r="E60" s="459"/>
      <c r="F60" s="459"/>
      <c r="G60" s="459"/>
      <c r="H60" s="459"/>
      <c r="I60" s="454"/>
      <c r="J60" s="454"/>
      <c r="K60" s="459"/>
      <c r="L60" s="459"/>
      <c r="M60" s="485"/>
    </row>
    <row r="61" spans="1:51" x14ac:dyDescent="0.25">
      <c r="A61" s="507" t="s">
        <v>671</v>
      </c>
      <c r="B61" s="484">
        <f>AVERAGE(B49:B60)</f>
        <v>-32.343166666666669</v>
      </c>
      <c r="C61" s="459"/>
      <c r="D61" s="459"/>
      <c r="E61" s="459"/>
      <c r="F61" s="459"/>
      <c r="G61" s="459"/>
      <c r="H61" s="459"/>
      <c r="I61" s="454"/>
      <c r="J61" s="454"/>
      <c r="K61" s="459"/>
      <c r="L61" s="459"/>
      <c r="M61" s="485"/>
    </row>
    <row r="62" spans="1:51" ht="15.75" thickBot="1" x14ac:dyDescent="0.3">
      <c r="A62" s="450" t="s">
        <v>801</v>
      </c>
      <c r="B62" s="510">
        <f>STDEVA(B49:B60)</f>
        <v>0.51986831083079243</v>
      </c>
      <c r="C62" s="470"/>
      <c r="D62" s="470"/>
      <c r="E62" s="470"/>
      <c r="F62" s="470"/>
      <c r="G62" s="470"/>
      <c r="H62" s="470"/>
      <c r="I62" s="457"/>
      <c r="J62" s="457"/>
      <c r="K62" s="470"/>
      <c r="L62" s="470"/>
      <c r="M62" s="509"/>
    </row>
    <row r="63" spans="1:51" ht="15.75" thickBot="1" x14ac:dyDescent="0.3">
      <c r="A63" s="453"/>
      <c r="B63" s="483"/>
      <c r="C63" s="459"/>
      <c r="D63" s="459"/>
      <c r="E63" s="459"/>
      <c r="F63" s="459"/>
      <c r="G63" s="459"/>
      <c r="H63" s="459"/>
      <c r="I63" s="454"/>
      <c r="J63" s="454"/>
      <c r="K63" s="459"/>
      <c r="L63" s="459"/>
      <c r="M63" s="485"/>
    </row>
    <row r="64" spans="1:51" x14ac:dyDescent="0.25">
      <c r="A64" s="446" t="s">
        <v>796</v>
      </c>
      <c r="B64" s="511">
        <v>-32.375</v>
      </c>
      <c r="C64" s="447"/>
      <c r="D64" s="447"/>
      <c r="E64" s="447"/>
      <c r="F64" s="447"/>
      <c r="G64" s="447"/>
      <c r="H64" s="447"/>
      <c r="I64" s="506"/>
      <c r="J64" s="506"/>
      <c r="K64" s="447"/>
      <c r="L64" s="447"/>
      <c r="M64" s="461"/>
      <c r="AY64" s="286" t="s">
        <v>682</v>
      </c>
    </row>
    <row r="65" spans="1:51" x14ac:dyDescent="0.25">
      <c r="A65" s="453" t="s">
        <v>797</v>
      </c>
      <c r="B65" s="483">
        <v>-32.651000000000003</v>
      </c>
      <c r="C65" s="459"/>
      <c r="D65" s="459"/>
      <c r="E65" s="459"/>
      <c r="F65" s="459"/>
      <c r="G65" s="459"/>
      <c r="H65" s="459"/>
      <c r="I65" s="454"/>
      <c r="J65" s="454"/>
      <c r="K65" s="459"/>
      <c r="L65" s="459"/>
      <c r="M65" s="485"/>
      <c r="AY65">
        <v>-25.65</v>
      </c>
    </row>
    <row r="66" spans="1:51" x14ac:dyDescent="0.25">
      <c r="A66" s="453" t="s">
        <v>798</v>
      </c>
      <c r="B66" s="483">
        <v>-31.660999999999998</v>
      </c>
      <c r="C66" s="459"/>
      <c r="D66" s="459"/>
      <c r="E66" s="459"/>
      <c r="F66" s="459"/>
      <c r="G66" s="459"/>
      <c r="H66" s="459"/>
      <c r="I66" s="454"/>
      <c r="J66" s="454"/>
      <c r="K66" s="459"/>
      <c r="L66" s="459"/>
      <c r="M66" s="485"/>
      <c r="AY66">
        <v>-25.65</v>
      </c>
    </row>
    <row r="67" spans="1:51" x14ac:dyDescent="0.25">
      <c r="A67" s="453" t="s">
        <v>799</v>
      </c>
      <c r="B67" s="483">
        <v>-31.782999999999998</v>
      </c>
      <c r="C67" s="459"/>
      <c r="D67" s="459"/>
      <c r="E67" s="459"/>
      <c r="F67" s="459"/>
      <c r="G67" s="459"/>
      <c r="H67" s="459"/>
      <c r="I67" s="454"/>
      <c r="J67" s="454"/>
      <c r="K67" s="459"/>
      <c r="L67" s="459"/>
      <c r="M67" s="485"/>
      <c r="AY67">
        <v>-25.65</v>
      </c>
    </row>
    <row r="68" spans="1:51" x14ac:dyDescent="0.25">
      <c r="A68" s="453" t="s">
        <v>800</v>
      </c>
      <c r="B68" s="483">
        <v>-31.959</v>
      </c>
      <c r="C68" s="459"/>
      <c r="D68" s="459"/>
      <c r="E68" s="459"/>
      <c r="F68" s="459"/>
      <c r="G68" s="459"/>
      <c r="H68" s="459"/>
      <c r="I68" s="454"/>
      <c r="J68" s="454"/>
      <c r="K68" s="459"/>
      <c r="L68" s="459"/>
      <c r="M68" s="485"/>
      <c r="AY68">
        <v>-25.65</v>
      </c>
    </row>
    <row r="69" spans="1:51" x14ac:dyDescent="0.25">
      <c r="A69" s="507" t="s">
        <v>694</v>
      </c>
      <c r="B69" s="484">
        <f>AVERAGE(B64:B68)</f>
        <v>-32.085799999999999</v>
      </c>
      <c r="C69" s="459"/>
      <c r="D69" s="459"/>
      <c r="E69" s="459"/>
      <c r="F69" s="459"/>
      <c r="G69" s="459"/>
      <c r="H69" s="459"/>
      <c r="I69" s="454"/>
      <c r="J69" s="454"/>
      <c r="K69" s="459"/>
      <c r="L69" s="459"/>
      <c r="M69" s="485"/>
      <c r="AY69">
        <v>-25.65</v>
      </c>
    </row>
    <row r="70" spans="1:51" ht="15.75" thickBot="1" x14ac:dyDescent="0.3">
      <c r="A70" s="450" t="s">
        <v>802</v>
      </c>
      <c r="B70" s="510">
        <f>STDEVA(B64:B68)</f>
        <v>0.4157249090444326</v>
      </c>
      <c r="C70" s="470"/>
      <c r="D70" s="470"/>
      <c r="E70" s="470"/>
      <c r="F70" s="470"/>
      <c r="G70" s="470"/>
      <c r="H70" s="470"/>
      <c r="I70" s="457"/>
      <c r="J70" s="457"/>
      <c r="K70" s="470"/>
      <c r="L70" s="470"/>
      <c r="M70" s="509"/>
      <c r="AY70">
        <v>-25.65</v>
      </c>
    </row>
    <row r="71" spans="1:51" ht="15.75" thickBot="1" x14ac:dyDescent="0.3">
      <c r="A71" s="453"/>
      <c r="B71" s="459"/>
      <c r="C71" s="459"/>
      <c r="D71" s="459"/>
      <c r="E71" s="459"/>
      <c r="F71" s="459"/>
      <c r="G71" s="459"/>
      <c r="H71" s="459"/>
      <c r="I71" s="454"/>
      <c r="J71" s="454"/>
      <c r="K71" s="459"/>
      <c r="L71" s="459"/>
      <c r="M71" s="485"/>
      <c r="AY71">
        <v>-25.65</v>
      </c>
    </row>
    <row r="72" spans="1:51" x14ac:dyDescent="0.25">
      <c r="A72" s="460" t="s">
        <v>803</v>
      </c>
      <c r="B72" s="512">
        <f>AVERAGE(B49:B60,B64:B68)</f>
        <v>-32.267470588235291</v>
      </c>
      <c r="C72" s="447"/>
      <c r="D72" s="447"/>
      <c r="E72" s="447"/>
      <c r="F72" s="447"/>
      <c r="G72" s="447"/>
      <c r="H72" s="447"/>
      <c r="I72" s="506"/>
      <c r="J72" s="506"/>
      <c r="K72" s="447"/>
      <c r="L72" s="447"/>
      <c r="M72" s="461"/>
      <c r="AY72">
        <v>-25.65</v>
      </c>
    </row>
    <row r="73" spans="1:51" ht="15.75" thickBot="1" x14ac:dyDescent="0.3">
      <c r="A73" s="450" t="s">
        <v>804</v>
      </c>
      <c r="B73" s="508">
        <f>STDEVA(B49:B60,B64:B68)</f>
        <v>0.49358270807017068</v>
      </c>
      <c r="C73" s="470"/>
      <c r="D73" s="470"/>
      <c r="E73" s="470"/>
      <c r="F73" s="470"/>
      <c r="G73" s="470"/>
      <c r="H73" s="470"/>
      <c r="I73" s="457"/>
      <c r="J73" s="457"/>
      <c r="K73" s="470"/>
      <c r="L73" s="470"/>
      <c r="M73" s="509"/>
      <c r="AY73">
        <v>-25.65</v>
      </c>
    </row>
    <row r="74" spans="1:51" x14ac:dyDescent="0.25">
      <c r="AY74">
        <v>-25.65</v>
      </c>
    </row>
    <row r="75" spans="1:51" x14ac:dyDescent="0.25">
      <c r="AY75">
        <v>-25.65</v>
      </c>
    </row>
    <row r="76" spans="1:51" x14ac:dyDescent="0.25">
      <c r="AY76">
        <v>-25.65</v>
      </c>
    </row>
    <row r="77" spans="1:51" x14ac:dyDescent="0.25">
      <c r="O77" s="261" t="s">
        <v>644</v>
      </c>
      <c r="P77" s="216"/>
      <c r="Q77" s="216"/>
      <c r="R77" s="216"/>
      <c r="S77" s="216"/>
      <c r="T77" s="262"/>
      <c r="U77" s="262"/>
      <c r="V77" s="263"/>
      <c r="W77" s="263"/>
      <c r="X77" s="263"/>
      <c r="Y77" s="263"/>
      <c r="AY77">
        <v>-25.65</v>
      </c>
    </row>
    <row r="78" spans="1:51" ht="45" x14ac:dyDescent="0.25">
      <c r="A78" t="s">
        <v>643</v>
      </c>
      <c r="D78" s="264" t="s">
        <v>645</v>
      </c>
      <c r="O78" s="265" t="s">
        <v>646</v>
      </c>
      <c r="P78" s="221" t="s">
        <v>581</v>
      </c>
      <c r="Q78" s="216"/>
      <c r="R78" s="216"/>
      <c r="S78" s="216"/>
      <c r="T78" s="262"/>
      <c r="U78" s="262"/>
      <c r="V78" s="262"/>
      <c r="W78" s="262"/>
      <c r="X78" s="262"/>
      <c r="Y78" s="262"/>
      <c r="Z78" s="262"/>
      <c r="AA78" s="262"/>
      <c r="AB78" s="262"/>
      <c r="AC78" s="262"/>
      <c r="AD78" s="262"/>
      <c r="AE78" s="262"/>
      <c r="AF78" s="262"/>
      <c r="AY78">
        <v>-25.65</v>
      </c>
    </row>
    <row r="79" spans="1:51" x14ac:dyDescent="0.25">
      <c r="A79" s="266" t="s">
        <v>647</v>
      </c>
      <c r="B79" s="266" t="s">
        <v>648</v>
      </c>
      <c r="C79" s="266">
        <v>-32.191000000000003</v>
      </c>
      <c r="D79" s="267">
        <f t="shared" ref="D79:D90" si="18">C79-1.043</f>
        <v>-33.234000000000002</v>
      </c>
      <c r="O79" s="261" t="s">
        <v>605</v>
      </c>
      <c r="P79" s="268">
        <f>AVERAGE(T94:T100)</f>
        <v>1.8293100230621178E-2</v>
      </c>
      <c r="Q79" s="216"/>
      <c r="R79" s="216"/>
      <c r="S79" s="216"/>
      <c r="T79" s="262"/>
      <c r="U79" s="262"/>
      <c r="V79" s="262"/>
      <c r="W79" s="262"/>
      <c r="X79" s="262"/>
      <c r="Y79" s="262"/>
      <c r="Z79" s="262"/>
      <c r="AA79" s="262"/>
      <c r="AB79" s="262"/>
      <c r="AC79" s="262"/>
      <c r="AD79" s="262"/>
      <c r="AE79" s="262"/>
      <c r="AF79" s="262"/>
      <c r="AY79">
        <v>-25.65</v>
      </c>
    </row>
    <row r="80" spans="1:51" x14ac:dyDescent="0.25">
      <c r="A80" s="266" t="s">
        <v>647</v>
      </c>
      <c r="B80" s="266" t="s">
        <v>649</v>
      </c>
      <c r="C80" s="266">
        <v>-31.920999999999999</v>
      </c>
      <c r="D80" s="267">
        <f t="shared" si="18"/>
        <v>-32.963999999999999</v>
      </c>
      <c r="O80" s="261" t="s">
        <v>608</v>
      </c>
      <c r="P80" s="268">
        <f>AVERAGE(T101:T106)</f>
        <v>2.0499617162990518E-2</v>
      </c>
      <c r="Q80" s="216"/>
      <c r="R80" s="216"/>
      <c r="S80" s="216"/>
      <c r="T80" s="262"/>
      <c r="U80" s="262"/>
      <c r="V80" s="262"/>
      <c r="W80" s="262"/>
      <c r="X80" s="262"/>
      <c r="Y80" s="262"/>
      <c r="Z80" s="262"/>
      <c r="AA80" s="262"/>
      <c r="AB80" s="262"/>
      <c r="AC80" s="262"/>
      <c r="AD80" s="262"/>
      <c r="AE80" s="262"/>
      <c r="AF80" s="262"/>
      <c r="AY80">
        <v>-25.65</v>
      </c>
    </row>
    <row r="81" spans="1:32" x14ac:dyDescent="0.25">
      <c r="A81" s="266" t="s">
        <v>647</v>
      </c>
      <c r="B81" s="266" t="s">
        <v>650</v>
      </c>
      <c r="C81" s="266">
        <v>-31.635999999999999</v>
      </c>
      <c r="D81" s="267">
        <f t="shared" si="18"/>
        <v>-32.679000000000002</v>
      </c>
      <c r="O81" s="261" t="s">
        <v>611</v>
      </c>
      <c r="P81" s="268">
        <f>AVERAGE(T107:T109)</f>
        <v>2.851923954541466E-2</v>
      </c>
      <c r="Q81" s="216"/>
      <c r="R81" s="216"/>
      <c r="S81" s="216"/>
      <c r="T81" s="262"/>
      <c r="U81" s="262"/>
      <c r="V81" s="262"/>
      <c r="W81" s="262"/>
      <c r="X81" s="262"/>
      <c r="Y81" s="262"/>
      <c r="Z81" s="262"/>
      <c r="AA81" s="262"/>
      <c r="AB81" s="262"/>
      <c r="AC81" s="262"/>
      <c r="AD81" s="262"/>
      <c r="AE81" s="262"/>
      <c r="AF81" s="262"/>
    </row>
    <row r="82" spans="1:32" x14ac:dyDescent="0.25">
      <c r="A82" s="266" t="s">
        <v>647</v>
      </c>
      <c r="B82" s="266" t="s">
        <v>651</v>
      </c>
      <c r="C82" s="266">
        <v>-31.654</v>
      </c>
      <c r="D82" s="267">
        <f t="shared" si="18"/>
        <v>-32.697000000000003</v>
      </c>
      <c r="O82" s="262"/>
      <c r="P82" s="262"/>
      <c r="Q82" s="262"/>
      <c r="R82" s="262"/>
      <c r="S82" s="262"/>
      <c r="T82" s="262"/>
      <c r="U82" s="262"/>
      <c r="V82" s="262"/>
      <c r="W82" s="262"/>
      <c r="X82" s="262"/>
      <c r="Y82" s="262"/>
      <c r="Z82" s="262"/>
      <c r="AA82" s="262"/>
      <c r="AB82" s="262"/>
      <c r="AC82" s="262"/>
      <c r="AD82" s="262"/>
      <c r="AE82" s="262"/>
      <c r="AF82" s="262"/>
    </row>
    <row r="83" spans="1:32" x14ac:dyDescent="0.25">
      <c r="A83" s="266" t="s">
        <v>647</v>
      </c>
      <c r="B83" s="266" t="s">
        <v>652</v>
      </c>
      <c r="C83" s="266">
        <v>-31.384</v>
      </c>
      <c r="D83" s="267">
        <f t="shared" si="18"/>
        <v>-32.427</v>
      </c>
      <c r="F83" s="269"/>
      <c r="G83" s="270" t="s">
        <v>626</v>
      </c>
      <c r="H83" s="270" t="s">
        <v>154</v>
      </c>
      <c r="I83"/>
      <c r="K83" s="49"/>
      <c r="O83" s="262" t="s">
        <v>653</v>
      </c>
      <c r="P83" s="262"/>
      <c r="Q83" s="262"/>
      <c r="R83" s="262"/>
      <c r="S83" s="262"/>
      <c r="T83" s="262"/>
      <c r="U83" s="262"/>
      <c r="V83" s="262"/>
      <c r="W83" s="262"/>
      <c r="X83" s="262"/>
      <c r="Y83" s="262"/>
      <c r="Z83" s="262"/>
      <c r="AA83" s="262"/>
      <c r="AB83" s="262"/>
      <c r="AC83" s="262"/>
      <c r="AD83" s="262"/>
      <c r="AE83" s="262"/>
      <c r="AF83" s="262"/>
    </row>
    <row r="84" spans="1:32" x14ac:dyDescent="0.25">
      <c r="A84" s="266" t="s">
        <v>647</v>
      </c>
      <c r="B84" s="266" t="s">
        <v>654</v>
      </c>
      <c r="C84" s="266">
        <v>-31.241</v>
      </c>
      <c r="D84" s="267">
        <f t="shared" si="18"/>
        <v>-32.283999999999999</v>
      </c>
      <c r="F84" s="271" t="s">
        <v>655</v>
      </c>
      <c r="G84" s="272">
        <f>AVERAGE(D79:D81)</f>
        <v>-32.959000000000003</v>
      </c>
      <c r="H84" s="272">
        <f>STDEVA(D79:D81)</f>
        <v>0.27753378172755816</v>
      </c>
      <c r="I84"/>
      <c r="J84" s="273" t="s">
        <v>656</v>
      </c>
      <c r="K84" s="274"/>
      <c r="O84" s="262" t="s">
        <v>657</v>
      </c>
      <c r="P84" s="262"/>
      <c r="Q84" s="262"/>
      <c r="R84" s="262"/>
      <c r="S84" s="262"/>
      <c r="T84" s="262"/>
      <c r="U84" s="262"/>
      <c r="V84" s="262"/>
      <c r="W84" s="262"/>
      <c r="X84" s="262"/>
      <c r="Y84" s="262"/>
      <c r="Z84" s="262"/>
      <c r="AA84" s="262"/>
      <c r="AB84" s="262"/>
      <c r="AC84" s="262"/>
      <c r="AD84" s="262"/>
      <c r="AE84" s="262"/>
      <c r="AF84" s="262"/>
    </row>
    <row r="85" spans="1:32" x14ac:dyDescent="0.25">
      <c r="A85" s="266" t="s">
        <v>658</v>
      </c>
      <c r="B85" s="266" t="s">
        <v>659</v>
      </c>
      <c r="C85" s="266">
        <v>-31.405000000000001</v>
      </c>
      <c r="D85" s="267">
        <f t="shared" si="18"/>
        <v>-32.448</v>
      </c>
      <c r="F85" s="271" t="s">
        <v>660</v>
      </c>
      <c r="G85" s="272">
        <f>AVERAGE(D85:D87)</f>
        <v>-32.306333333333328</v>
      </c>
      <c r="H85" s="272">
        <f>STDEVA(D85:D87)</f>
        <v>0.14784564022430138</v>
      </c>
      <c r="I85"/>
      <c r="J85" s="272">
        <f>AVERAGE(D79:D81,D85:D87)</f>
        <v>-32.632666666666672</v>
      </c>
      <c r="K85" s="272">
        <f>STDEVA(D79:D81,D85:D87)</f>
        <v>0.40907880251446349</v>
      </c>
      <c r="O85" s="262" t="s">
        <v>661</v>
      </c>
      <c r="P85" s="262"/>
      <c r="Q85" s="262"/>
      <c r="R85" s="262"/>
      <c r="S85" s="262"/>
      <c r="T85" s="262"/>
      <c r="U85" s="262"/>
      <c r="V85" s="262"/>
      <c r="W85" s="262"/>
      <c r="X85" s="262"/>
      <c r="Y85" s="262"/>
      <c r="Z85" s="262"/>
      <c r="AA85" s="262"/>
      <c r="AB85" s="262"/>
      <c r="AC85" s="262"/>
      <c r="AD85" s="262"/>
      <c r="AE85" s="262"/>
      <c r="AF85" s="262"/>
    </row>
    <row r="86" spans="1:32" x14ac:dyDescent="0.25">
      <c r="A86" s="266" t="s">
        <v>658</v>
      </c>
      <c r="B86" s="266" t="s">
        <v>662</v>
      </c>
      <c r="C86" s="266">
        <v>-31.274999999999999</v>
      </c>
      <c r="D86" s="267">
        <f t="shared" si="18"/>
        <v>-32.317999999999998</v>
      </c>
      <c r="I86"/>
      <c r="K86" s="49"/>
      <c r="O86" s="262" t="s">
        <v>663</v>
      </c>
      <c r="P86" s="262"/>
      <c r="Q86" s="262"/>
      <c r="R86" s="262"/>
      <c r="S86" s="262"/>
      <c r="T86" s="262"/>
      <c r="U86" s="262"/>
      <c r="V86" s="262"/>
      <c r="W86" s="262"/>
      <c r="X86" s="262"/>
      <c r="Y86" s="262"/>
      <c r="Z86" s="262"/>
      <c r="AA86" s="262"/>
      <c r="AB86" s="262"/>
      <c r="AC86" s="262"/>
      <c r="AD86" s="262"/>
      <c r="AE86" s="262"/>
      <c r="AF86" s="262"/>
    </row>
    <row r="87" spans="1:32" x14ac:dyDescent="0.25">
      <c r="A87" s="266" t="s">
        <v>658</v>
      </c>
      <c r="B87" s="266" t="s">
        <v>664</v>
      </c>
      <c r="C87" s="266">
        <v>-31.11</v>
      </c>
      <c r="D87" s="267">
        <f t="shared" si="18"/>
        <v>-32.152999999999999</v>
      </c>
      <c r="F87" s="269"/>
      <c r="G87" s="270" t="s">
        <v>606</v>
      </c>
      <c r="H87" s="270" t="s">
        <v>154</v>
      </c>
      <c r="I87"/>
      <c r="J87" s="273" t="s">
        <v>665</v>
      </c>
      <c r="K87" s="274"/>
      <c r="O87" s="262"/>
      <c r="P87" s="262"/>
      <c r="Q87" s="262"/>
      <c r="R87" s="262"/>
      <c r="S87" s="262"/>
      <c r="T87" s="262"/>
      <c r="U87" s="262"/>
      <c r="V87" s="262"/>
      <c r="W87" s="262"/>
      <c r="X87" s="262"/>
      <c r="Y87" s="262"/>
      <c r="Z87" s="262"/>
      <c r="AA87" s="262"/>
      <c r="AB87" s="262"/>
      <c r="AC87" s="262"/>
      <c r="AD87" s="262"/>
      <c r="AE87" s="262"/>
      <c r="AF87" s="262"/>
    </row>
    <row r="88" spans="1:32" x14ac:dyDescent="0.25">
      <c r="A88" s="266" t="s">
        <v>658</v>
      </c>
      <c r="B88" s="266" t="s">
        <v>666</v>
      </c>
      <c r="C88" s="266">
        <v>-30.538</v>
      </c>
      <c r="D88" s="267">
        <f t="shared" si="18"/>
        <v>-31.581</v>
      </c>
      <c r="F88" s="271" t="s">
        <v>655</v>
      </c>
      <c r="G88" s="272">
        <f>AVERAGE(D82:D84)</f>
        <v>-32.469333333333331</v>
      </c>
      <c r="H88" s="272">
        <f>STDEVA(D82:D84)</f>
        <v>0.20972919046554814</v>
      </c>
      <c r="I88"/>
      <c r="J88" s="272">
        <f>AVERAGE(D82:D84,D88:D90)</f>
        <v>-32.053666666666665</v>
      </c>
      <c r="K88" s="272">
        <f>STDEVA(D82:D84,D88:D90)</f>
        <v>0.47548781968276282</v>
      </c>
      <c r="O88" s="262" t="s">
        <v>667</v>
      </c>
      <c r="P88" s="262"/>
      <c r="Q88" s="262"/>
      <c r="R88" s="262"/>
      <c r="S88" s="262"/>
      <c r="T88" s="262"/>
      <c r="U88" s="262"/>
      <c r="V88" s="262"/>
      <c r="W88" s="262"/>
      <c r="X88" s="262"/>
      <c r="Y88" s="262"/>
      <c r="Z88" s="262"/>
      <c r="AA88" s="262"/>
      <c r="AB88" s="262"/>
      <c r="AC88" s="262"/>
      <c r="AD88" s="262"/>
      <c r="AE88" s="262"/>
      <c r="AF88" s="262"/>
    </row>
    <row r="89" spans="1:32" x14ac:dyDescent="0.25">
      <c r="A89" s="266" t="s">
        <v>658</v>
      </c>
      <c r="B89" s="266" t="s">
        <v>668</v>
      </c>
      <c r="C89" s="266">
        <v>-30.645</v>
      </c>
      <c r="D89" s="267">
        <f t="shared" si="18"/>
        <v>-31.687999999999999</v>
      </c>
      <c r="F89" s="271" t="s">
        <v>660</v>
      </c>
      <c r="G89" s="272">
        <f>AVERAGE(D88:D90)</f>
        <v>-31.638000000000002</v>
      </c>
      <c r="H89" s="272">
        <f>STDEVA(D88:D90)</f>
        <v>5.3842362503886909E-2</v>
      </c>
      <c r="I89"/>
      <c r="K89" s="49"/>
      <c r="O89" s="262" t="s">
        <v>669</v>
      </c>
      <c r="P89" s="262"/>
      <c r="Q89" s="262"/>
      <c r="R89" s="262"/>
      <c r="S89" s="262"/>
      <c r="T89" s="262"/>
      <c r="U89" s="262"/>
      <c r="V89" s="262"/>
      <c r="W89" s="262"/>
      <c r="X89" s="262"/>
      <c r="Y89" s="262"/>
      <c r="Z89" s="262"/>
      <c r="AA89" s="262"/>
      <c r="AB89" s="262"/>
      <c r="AC89" s="262"/>
      <c r="AD89" s="262"/>
      <c r="AE89" s="262"/>
      <c r="AF89" s="262"/>
    </row>
    <row r="90" spans="1:32" x14ac:dyDescent="0.25">
      <c r="A90" s="275" t="s">
        <v>658</v>
      </c>
      <c r="B90" s="275" t="s">
        <v>670</v>
      </c>
      <c r="C90" s="275">
        <v>-30.602</v>
      </c>
      <c r="D90" s="267">
        <f t="shared" si="18"/>
        <v>-31.645</v>
      </c>
      <c r="I90"/>
      <c r="K90" s="49"/>
      <c r="L90" s="1"/>
      <c r="O90" s="262"/>
      <c r="P90" s="262"/>
      <c r="Q90" s="262"/>
      <c r="R90" s="262"/>
      <c r="S90" s="262"/>
      <c r="T90" s="262"/>
      <c r="U90" s="262"/>
      <c r="V90" s="262"/>
      <c r="W90" s="262"/>
      <c r="X90" s="262"/>
      <c r="Y90" s="262"/>
      <c r="Z90" s="262"/>
      <c r="AA90" s="262"/>
      <c r="AB90" s="262"/>
      <c r="AC90" s="262"/>
      <c r="AD90" s="262"/>
      <c r="AE90" s="262"/>
      <c r="AF90" s="262"/>
    </row>
    <row r="91" spans="1:32" x14ac:dyDescent="0.25">
      <c r="A91" s="276" t="s">
        <v>671</v>
      </c>
      <c r="B91" s="277">
        <f>AVERAGE(D79:D90)</f>
        <v>-32.343166666666669</v>
      </c>
      <c r="C91" s="277">
        <f>STDEVA(D79:D90)</f>
        <v>0.51986831083079243</v>
      </c>
      <c r="D91" s="267"/>
      <c r="I91"/>
      <c r="K91" s="49"/>
      <c r="O91" s="262" t="s">
        <v>672</v>
      </c>
      <c r="P91" s="262" t="s">
        <v>673</v>
      </c>
      <c r="Q91" s="262" t="s">
        <v>674</v>
      </c>
      <c r="R91" s="262"/>
      <c r="S91" s="262"/>
      <c r="T91" s="262"/>
      <c r="U91" s="262"/>
      <c r="V91" s="262"/>
      <c r="W91" s="262"/>
      <c r="X91" s="262"/>
      <c r="Y91" s="262"/>
      <c r="Z91" s="262"/>
      <c r="AA91" s="262"/>
      <c r="AB91" s="262"/>
      <c r="AC91" s="262"/>
      <c r="AD91" s="262"/>
      <c r="AE91" s="262"/>
      <c r="AF91" s="262"/>
    </row>
    <row r="92" spans="1:32" x14ac:dyDescent="0.25">
      <c r="D92" s="267"/>
      <c r="I92"/>
      <c r="K92" s="49"/>
      <c r="O92" s="262"/>
      <c r="P92" s="262"/>
      <c r="Q92" s="262"/>
      <c r="R92" s="262"/>
      <c r="S92" s="262"/>
      <c r="T92" s="262"/>
      <c r="U92" s="262"/>
      <c r="V92" s="262"/>
      <c r="W92" s="262"/>
      <c r="X92" s="262"/>
      <c r="Y92" s="262"/>
      <c r="Z92" s="262"/>
      <c r="AA92" s="262"/>
      <c r="AB92" s="262"/>
      <c r="AC92" s="262"/>
      <c r="AD92" s="262"/>
      <c r="AE92" s="262"/>
      <c r="AF92" s="262"/>
    </row>
    <row r="93" spans="1:32" ht="30" x14ac:dyDescent="0.25">
      <c r="A93" s="278" t="s">
        <v>675</v>
      </c>
      <c r="B93" s="278" t="s">
        <v>676</v>
      </c>
      <c r="C93" s="279">
        <v>-31.332000000000001</v>
      </c>
      <c r="D93" s="267">
        <f>C93-1.043</f>
        <v>-32.375</v>
      </c>
      <c r="I93"/>
      <c r="K93" s="49"/>
      <c r="O93" s="280" t="s">
        <v>0</v>
      </c>
      <c r="P93" s="281" t="s">
        <v>571</v>
      </c>
      <c r="Q93" s="282" t="s">
        <v>677</v>
      </c>
      <c r="R93" s="282" t="s">
        <v>678</v>
      </c>
      <c r="S93" s="282" t="s">
        <v>679</v>
      </c>
      <c r="T93" s="282" t="s">
        <v>680</v>
      </c>
      <c r="U93" s="216"/>
      <c r="V93" s="283" t="s">
        <v>569</v>
      </c>
      <c r="W93" s="283"/>
      <c r="X93" s="283"/>
      <c r="Y93" s="283"/>
      <c r="Z93" s="262"/>
      <c r="AA93" s="262"/>
      <c r="AB93" s="262"/>
      <c r="AC93" s="262"/>
      <c r="AD93" s="262"/>
      <c r="AE93" s="262"/>
      <c r="AF93" s="262"/>
    </row>
    <row r="94" spans="1:32" x14ac:dyDescent="0.25">
      <c r="A94" s="278" t="s">
        <v>683</v>
      </c>
      <c r="B94" s="278" t="s">
        <v>684</v>
      </c>
      <c r="C94" s="279">
        <v>-31.608000000000001</v>
      </c>
      <c r="D94" s="267">
        <f>C94-1.043</f>
        <v>-32.651000000000003</v>
      </c>
      <c r="F94" s="269"/>
      <c r="G94" s="270" t="s">
        <v>685</v>
      </c>
      <c r="H94" s="270" t="s">
        <v>154</v>
      </c>
      <c r="I94"/>
      <c r="J94" s="49" t="s">
        <v>686</v>
      </c>
      <c r="K94" s="49"/>
      <c r="O94" s="287" t="s">
        <v>232</v>
      </c>
      <c r="P94" s="287" t="s">
        <v>597</v>
      </c>
      <c r="Q94" s="330">
        <v>2.3926327590946629E-2</v>
      </c>
      <c r="R94" s="288"/>
      <c r="S94" s="262"/>
      <c r="T94" s="289">
        <f>Q94</f>
        <v>2.3926327590946629E-2</v>
      </c>
      <c r="U94" s="262"/>
      <c r="V94" s="262" t="s">
        <v>595</v>
      </c>
      <c r="W94" s="262"/>
      <c r="X94" s="262"/>
      <c r="Y94" s="262"/>
      <c r="Z94" s="283" t="s">
        <v>570</v>
      </c>
      <c r="AA94" s="284"/>
      <c r="AB94" s="285" t="s">
        <v>571</v>
      </c>
      <c r="AC94" s="283" t="s">
        <v>681</v>
      </c>
      <c r="AD94" s="284"/>
      <c r="AE94" s="284"/>
      <c r="AF94" s="284"/>
    </row>
    <row r="95" spans="1:32" x14ac:dyDescent="0.25">
      <c r="A95" s="266" t="s">
        <v>687</v>
      </c>
      <c r="B95" s="266" t="s">
        <v>688</v>
      </c>
      <c r="C95" s="266">
        <v>-30.617999999999999</v>
      </c>
      <c r="D95" s="267">
        <f>C95-1.043</f>
        <v>-31.660999999999998</v>
      </c>
      <c r="F95" s="271" t="s">
        <v>655</v>
      </c>
      <c r="G95" s="272">
        <f>AVERAGE(D93:D94)</f>
        <v>-32.513000000000005</v>
      </c>
      <c r="H95" s="272">
        <f>STDEVA(D93:D94)</f>
        <v>0.19516147160748948</v>
      </c>
      <c r="I95"/>
      <c r="J95" s="49">
        <f>AVERAGE(J85,J88,B98)</f>
        <v>-32.257377777777776</v>
      </c>
      <c r="K95" s="49"/>
      <c r="O95" s="287" t="s">
        <v>231</v>
      </c>
      <c r="P95" s="287" t="s">
        <v>600</v>
      </c>
      <c r="Q95" s="330">
        <v>1.5825692323370866</v>
      </c>
      <c r="R95" s="291">
        <v>42449</v>
      </c>
      <c r="S95" s="288" t="s">
        <v>689</v>
      </c>
      <c r="T95" s="292">
        <f>MEDIAN(T94,T98:T100)</f>
        <v>1.6182832150133653E-2</v>
      </c>
      <c r="U95" s="262"/>
      <c r="V95" s="262" t="s">
        <v>598</v>
      </c>
      <c r="W95" s="262"/>
      <c r="X95" s="262"/>
      <c r="Y95" s="262"/>
      <c r="Z95" s="262" t="s">
        <v>596</v>
      </c>
      <c r="AA95" s="290"/>
      <c r="AB95" s="288" t="s">
        <v>597</v>
      </c>
      <c r="AC95" s="290">
        <v>17140.800999999999</v>
      </c>
      <c r="AD95" s="290"/>
      <c r="AE95" s="290"/>
      <c r="AF95" s="290"/>
    </row>
    <row r="96" spans="1:32" x14ac:dyDescent="0.25">
      <c r="A96" s="266" t="s">
        <v>687</v>
      </c>
      <c r="B96" s="266" t="s">
        <v>690</v>
      </c>
      <c r="C96" s="266">
        <v>-30.74</v>
      </c>
      <c r="D96" s="267">
        <f>C96-1.043</f>
        <v>-31.782999999999998</v>
      </c>
      <c r="F96" s="271" t="s">
        <v>660</v>
      </c>
      <c r="G96" s="272">
        <f>AVERAGE(D95:D97)</f>
        <v>-31.800999999999998</v>
      </c>
      <c r="H96" s="272">
        <f>STDEVA(D95:D97)</f>
        <v>0.149813217040421</v>
      </c>
      <c r="I96"/>
      <c r="K96" s="49"/>
      <c r="O96" s="287" t="s">
        <v>230</v>
      </c>
      <c r="P96" s="287" t="s">
        <v>604</v>
      </c>
      <c r="Q96" s="330">
        <v>0.5014065020695273</v>
      </c>
      <c r="R96" s="288" t="s">
        <v>691</v>
      </c>
      <c r="S96" s="288" t="s">
        <v>692</v>
      </c>
      <c r="T96" s="292">
        <f>Q111</f>
        <v>3.4970807455924199E-3</v>
      </c>
      <c r="U96" s="262"/>
      <c r="V96" s="262" t="s">
        <v>603</v>
      </c>
      <c r="W96" s="262"/>
      <c r="X96" s="262"/>
      <c r="Y96" s="262"/>
      <c r="Z96" s="262" t="s">
        <v>599</v>
      </c>
      <c r="AA96" s="290"/>
      <c r="AB96" s="288" t="s">
        <v>600</v>
      </c>
      <c r="AC96" s="290">
        <v>43903.300999999999</v>
      </c>
      <c r="AD96" s="290"/>
      <c r="AE96" s="290"/>
      <c r="AF96" s="290"/>
    </row>
    <row r="97" spans="1:32" x14ac:dyDescent="0.25">
      <c r="A97" s="275" t="s">
        <v>687</v>
      </c>
      <c r="B97" s="275" t="s">
        <v>693</v>
      </c>
      <c r="C97" s="275">
        <v>-30.916</v>
      </c>
      <c r="D97" s="267">
        <f>C97-1.043</f>
        <v>-31.959</v>
      </c>
      <c r="O97" s="287" t="s">
        <v>233</v>
      </c>
      <c r="P97" s="287" t="s">
        <v>607</v>
      </c>
      <c r="Q97" s="330">
        <v>0.26417286528717754</v>
      </c>
      <c r="R97" s="288" t="s">
        <v>691</v>
      </c>
      <c r="S97" s="288" t="s">
        <v>689</v>
      </c>
      <c r="T97" s="292">
        <f>MEDIAN(T94,T98:T100)</f>
        <v>1.6182832150133653E-2</v>
      </c>
      <c r="U97" s="262"/>
      <c r="V97" s="262" t="s">
        <v>606</v>
      </c>
      <c r="W97" s="262"/>
      <c r="X97" s="262"/>
      <c r="Y97" s="262"/>
      <c r="Z97" s="262" t="s">
        <v>596</v>
      </c>
      <c r="AA97" s="262"/>
      <c r="AB97" s="288" t="s">
        <v>604</v>
      </c>
      <c r="AC97" s="262">
        <v>29073.1</v>
      </c>
      <c r="AD97" s="262"/>
      <c r="AE97" s="262"/>
      <c r="AF97" s="262"/>
    </row>
    <row r="98" spans="1:32" x14ac:dyDescent="0.25">
      <c r="A98" s="276" t="s">
        <v>694</v>
      </c>
      <c r="B98" s="277">
        <f>AVERAGE(D93:D97)</f>
        <v>-32.085799999999999</v>
      </c>
      <c r="C98" s="277">
        <f>STDEVA(D93:D97)</f>
        <v>0.4157249090444326</v>
      </c>
      <c r="O98" s="287" t="s">
        <v>228</v>
      </c>
      <c r="P98" s="287" t="s">
        <v>610</v>
      </c>
      <c r="Q98" s="330">
        <v>5.3294195852720251E-2</v>
      </c>
      <c r="R98" s="288" t="s">
        <v>691</v>
      </c>
      <c r="S98" s="288"/>
      <c r="T98" s="289">
        <f>Q98</f>
        <v>5.3294195852720251E-2</v>
      </c>
      <c r="U98" s="262"/>
      <c r="V98" s="262" t="s">
        <v>603</v>
      </c>
      <c r="W98" s="262"/>
      <c r="X98" s="262"/>
      <c r="Y98" s="262"/>
      <c r="Z98" s="262" t="s">
        <v>599</v>
      </c>
      <c r="AA98" s="290"/>
      <c r="AB98" s="288" t="s">
        <v>607</v>
      </c>
      <c r="AC98" s="290">
        <v>9452.5</v>
      </c>
      <c r="AD98" s="290"/>
      <c r="AE98" s="290"/>
      <c r="AF98" s="290"/>
    </row>
    <row r="99" spans="1:32" x14ac:dyDescent="0.25">
      <c r="O99" s="287" t="s">
        <v>226</v>
      </c>
      <c r="P99" s="287" t="s">
        <v>612</v>
      </c>
      <c r="Q99" s="330">
        <v>8.4393367093206773E-3</v>
      </c>
      <c r="R99" s="288"/>
      <c r="S99" s="288"/>
      <c r="T99" s="289">
        <f>Q99</f>
        <v>8.4393367093206773E-3</v>
      </c>
      <c r="U99" s="262"/>
      <c r="V99" s="262" t="s">
        <v>606</v>
      </c>
      <c r="W99" s="262"/>
      <c r="X99" s="262"/>
      <c r="Y99" s="262"/>
      <c r="Z99" s="262" t="s">
        <v>596</v>
      </c>
      <c r="AA99" s="262"/>
      <c r="AB99" s="288" t="s">
        <v>610</v>
      </c>
      <c r="AC99" s="262">
        <v>8369.2001999999993</v>
      </c>
      <c r="AD99" s="262"/>
      <c r="AE99" s="262"/>
      <c r="AF99" s="262"/>
    </row>
    <row r="100" spans="1:32" x14ac:dyDescent="0.25">
      <c r="B100" t="s">
        <v>695</v>
      </c>
      <c r="O100" s="287" t="s">
        <v>224</v>
      </c>
      <c r="P100" s="287" t="s">
        <v>614</v>
      </c>
      <c r="Q100" s="330">
        <v>6.5290964155009738E-3</v>
      </c>
      <c r="R100" s="288"/>
      <c r="S100" s="288"/>
      <c r="T100" s="289">
        <f>Q100</f>
        <v>6.5290964155009738E-3</v>
      </c>
      <c r="U100" s="262"/>
      <c r="V100" s="262" t="s">
        <v>606</v>
      </c>
      <c r="W100" s="262"/>
      <c r="X100" s="262"/>
      <c r="Y100" s="262"/>
      <c r="Z100" s="262" t="s">
        <v>599</v>
      </c>
      <c r="AA100" s="290"/>
      <c r="AB100" s="288" t="s">
        <v>612</v>
      </c>
      <c r="AC100" s="290">
        <v>13776.5</v>
      </c>
      <c r="AD100" s="290"/>
      <c r="AE100" s="290"/>
      <c r="AF100" s="290"/>
    </row>
    <row r="101" spans="1:32" ht="30" x14ac:dyDescent="0.25">
      <c r="B101" s="221" t="s">
        <v>575</v>
      </c>
      <c r="C101" s="221" t="s">
        <v>577</v>
      </c>
      <c r="D101" s="221" t="s">
        <v>696</v>
      </c>
      <c r="E101" s="221" t="s">
        <v>697</v>
      </c>
      <c r="F101" s="221" t="s">
        <v>698</v>
      </c>
      <c r="G101" s="221" t="s">
        <v>699</v>
      </c>
      <c r="H101" s="221" t="s">
        <v>700</v>
      </c>
      <c r="O101" s="287" t="s">
        <v>222</v>
      </c>
      <c r="P101" s="287" t="s">
        <v>618</v>
      </c>
      <c r="Q101" s="330">
        <v>8.28384463943296E-3</v>
      </c>
      <c r="R101" s="288"/>
      <c r="S101" s="288"/>
      <c r="T101" s="289">
        <f t="shared" ref="T101:T106" si="19">Q101</f>
        <v>8.28384463943296E-3</v>
      </c>
      <c r="U101" s="262"/>
      <c r="V101" s="262" t="s">
        <v>606</v>
      </c>
      <c r="W101" s="262"/>
      <c r="X101" s="262"/>
      <c r="Y101" s="262"/>
      <c r="Z101" s="262" t="s">
        <v>599</v>
      </c>
      <c r="AA101" s="290"/>
      <c r="AB101" s="288" t="s">
        <v>614</v>
      </c>
      <c r="AC101" s="290">
        <v>17448.599999999999</v>
      </c>
      <c r="AD101" s="290"/>
      <c r="AE101" s="290"/>
      <c r="AF101" s="290"/>
    </row>
    <row r="102" spans="1:32" x14ac:dyDescent="0.25">
      <c r="A102" t="s">
        <v>601</v>
      </c>
      <c r="B102" s="226">
        <v>960</v>
      </c>
      <c r="C102" s="226">
        <v>0.6</v>
      </c>
      <c r="D102" s="226">
        <f>B102*C102</f>
        <v>576</v>
      </c>
      <c r="E102" s="226">
        <f>D102/10000</f>
        <v>5.7599999999999998E-2</v>
      </c>
      <c r="F102">
        <f>E102/$C$106</f>
        <v>5.8775510204081629E-8</v>
      </c>
      <c r="G102">
        <f>F102*10^2/1</f>
        <v>5.8775510204081632E-6</v>
      </c>
      <c r="H102" s="227">
        <f>G102*10^6/10^3</f>
        <v>5.8775510204081638E-3</v>
      </c>
      <c r="I102" s="109" t="s">
        <v>701</v>
      </c>
      <c r="O102" s="287" t="s">
        <v>220</v>
      </c>
      <c r="P102" s="287" t="s">
        <v>619</v>
      </c>
      <c r="Q102" s="330">
        <v>4.8701375008149313E-2</v>
      </c>
      <c r="R102" s="288"/>
      <c r="S102" s="288"/>
      <c r="T102" s="289">
        <f t="shared" si="19"/>
        <v>4.8701375008149313E-2</v>
      </c>
      <c r="U102" s="262"/>
      <c r="V102" s="262" t="s">
        <v>603</v>
      </c>
      <c r="W102" s="262"/>
      <c r="X102" s="262"/>
      <c r="Y102" s="262"/>
      <c r="Z102" s="262" t="s">
        <v>599</v>
      </c>
      <c r="AA102" s="290"/>
      <c r="AB102" s="288" t="s">
        <v>618</v>
      </c>
      <c r="AC102" s="290">
        <v>2965.98</v>
      </c>
      <c r="AD102" s="290"/>
      <c r="AE102" s="290"/>
      <c r="AF102" s="290"/>
    </row>
    <row r="103" spans="1:32" x14ac:dyDescent="0.25">
      <c r="A103" t="s">
        <v>601</v>
      </c>
      <c r="B103" s="226">
        <v>960</v>
      </c>
      <c r="C103" s="226">
        <v>2</v>
      </c>
      <c r="D103" s="226">
        <f>B103*C103</f>
        <v>1920</v>
      </c>
      <c r="E103" s="226">
        <f>D103/10000</f>
        <v>0.192</v>
      </c>
      <c r="F103">
        <f>E103/$C$106</f>
        <v>1.9591836734693877E-7</v>
      </c>
      <c r="G103">
        <f>F103*10^2/1</f>
        <v>1.9591836734693877E-5</v>
      </c>
      <c r="H103" s="227">
        <f>G103*10^6/10^3</f>
        <v>1.9591836734693877E-2</v>
      </c>
      <c r="I103" s="109" t="s">
        <v>702</v>
      </c>
      <c r="O103" s="287" t="s">
        <v>219</v>
      </c>
      <c r="P103" s="287" t="s">
        <v>620</v>
      </c>
      <c r="Q103" s="330">
        <v>1.5554078707623875E-2</v>
      </c>
      <c r="R103" s="288"/>
      <c r="S103" s="288"/>
      <c r="T103" s="289">
        <f t="shared" si="19"/>
        <v>1.5554078707623875E-2</v>
      </c>
      <c r="U103" s="262"/>
      <c r="V103" s="262" t="s">
        <v>606</v>
      </c>
      <c r="W103" s="262"/>
      <c r="X103" s="262"/>
      <c r="Y103" s="262"/>
      <c r="Z103" s="262" t="s">
        <v>596</v>
      </c>
      <c r="AA103" s="262"/>
      <c r="AB103" s="288" t="s">
        <v>619</v>
      </c>
      <c r="AC103" s="262">
        <v>3360.51</v>
      </c>
      <c r="AD103" s="262"/>
      <c r="AE103" s="262"/>
      <c r="AF103" s="262"/>
    </row>
    <row r="104" spans="1:32" x14ac:dyDescent="0.25">
      <c r="A104" s="293" t="s">
        <v>625</v>
      </c>
      <c r="B104" s="226">
        <v>960</v>
      </c>
      <c r="C104" s="226">
        <v>1.2</v>
      </c>
      <c r="D104" s="226">
        <f>B104*C104</f>
        <v>1152</v>
      </c>
      <c r="E104" s="226">
        <f>D104/10000</f>
        <v>0.1152</v>
      </c>
      <c r="F104">
        <f>E104/C106</f>
        <v>1.1755102040816326E-7</v>
      </c>
      <c r="G104">
        <f>F104*10^2/1</f>
        <v>1.1755102040816326E-5</v>
      </c>
      <c r="H104" s="227">
        <f>G104*10^6/10^3</f>
        <v>1.1755102040816328E-2</v>
      </c>
      <c r="O104" s="287" t="s">
        <v>218</v>
      </c>
      <c r="P104" s="287" t="s">
        <v>621</v>
      </c>
      <c r="Q104" s="330">
        <v>1.8036078456431636E-2</v>
      </c>
      <c r="R104" s="288"/>
      <c r="S104" s="288"/>
      <c r="T104" s="289">
        <f t="shared" si="19"/>
        <v>1.8036078456431636E-2</v>
      </c>
      <c r="U104" s="262"/>
      <c r="V104" s="262" t="s">
        <v>606</v>
      </c>
      <c r="W104" s="262"/>
      <c r="X104" s="262"/>
      <c r="Y104" s="262"/>
      <c r="Z104" s="262" t="s">
        <v>599</v>
      </c>
      <c r="AA104" s="290"/>
      <c r="AB104" s="288" t="s">
        <v>620</v>
      </c>
      <c r="AC104" s="290">
        <v>5336.0801000000001</v>
      </c>
      <c r="AD104" s="290"/>
      <c r="AE104" s="290"/>
      <c r="AF104" s="290"/>
    </row>
    <row r="105" spans="1:32" x14ac:dyDescent="0.25">
      <c r="O105" s="287" t="s">
        <v>223</v>
      </c>
      <c r="P105" s="287" t="s">
        <v>622</v>
      </c>
      <c r="Q105" s="330">
        <v>1.7766197991410899</v>
      </c>
      <c r="R105" s="291">
        <v>42449</v>
      </c>
      <c r="S105" s="288" t="s">
        <v>689</v>
      </c>
      <c r="T105" s="292">
        <f>MEDIAN(T101:T104,T106)</f>
        <v>1.6211163083152666E-2</v>
      </c>
      <c r="U105" s="262"/>
      <c r="V105" s="262" t="s">
        <v>598</v>
      </c>
      <c r="W105" s="262"/>
      <c r="X105" s="262"/>
      <c r="Y105" s="262"/>
      <c r="Z105" s="262" t="s">
        <v>599</v>
      </c>
      <c r="AA105" s="290"/>
      <c r="AB105" s="288" t="s">
        <v>621</v>
      </c>
      <c r="AC105" s="290">
        <v>7356.8301000000001</v>
      </c>
      <c r="AD105" s="290"/>
      <c r="AE105" s="290"/>
      <c r="AF105" s="290"/>
    </row>
    <row r="106" spans="1:32" x14ac:dyDescent="0.25">
      <c r="A106" t="str">
        <f>A15</f>
        <v>Soil Density (ρ)  =</v>
      </c>
      <c r="C106">
        <f>B15</f>
        <v>980000</v>
      </c>
      <c r="O106" s="287" t="s">
        <v>221</v>
      </c>
      <c r="P106" s="287" t="s">
        <v>624</v>
      </c>
      <c r="Q106" s="330">
        <v>1.6211163083152666E-2</v>
      </c>
      <c r="R106" s="288"/>
      <c r="S106" s="288"/>
      <c r="T106" s="289">
        <f t="shared" si="19"/>
        <v>1.6211163083152666E-2</v>
      </c>
      <c r="U106" s="262"/>
      <c r="V106" s="262" t="s">
        <v>703</v>
      </c>
      <c r="W106" s="262"/>
      <c r="X106" s="262"/>
      <c r="Y106" s="262"/>
      <c r="Z106" s="262" t="s">
        <v>599</v>
      </c>
      <c r="AA106" s="290"/>
      <c r="AB106" s="288" t="s">
        <v>622</v>
      </c>
      <c r="AC106" s="290">
        <v>14204.8</v>
      </c>
      <c r="AD106" s="290"/>
      <c r="AE106" s="290"/>
      <c r="AF106" s="290"/>
    </row>
    <row r="107" spans="1:32" x14ac:dyDescent="0.25">
      <c r="O107" s="287" t="s">
        <v>261</v>
      </c>
      <c r="P107" s="287" t="s">
        <v>629</v>
      </c>
      <c r="Q107" s="330">
        <v>1.6680819723333415</v>
      </c>
      <c r="R107" s="291">
        <v>42449</v>
      </c>
      <c r="S107" s="288" t="s">
        <v>692</v>
      </c>
      <c r="T107" s="292">
        <f>Q114</f>
        <v>3.9399324434441815E-2</v>
      </c>
      <c r="U107" s="262"/>
      <c r="V107" s="262" t="s">
        <v>598</v>
      </c>
      <c r="W107" s="262"/>
      <c r="X107" s="262"/>
      <c r="Y107" s="262"/>
      <c r="Z107" s="262" t="s">
        <v>596</v>
      </c>
      <c r="AA107" s="290"/>
      <c r="AB107" s="288" t="s">
        <v>624</v>
      </c>
      <c r="AC107" s="290">
        <v>9383.6396000000004</v>
      </c>
      <c r="AD107" s="290"/>
      <c r="AE107" s="290"/>
      <c r="AF107" s="290"/>
    </row>
    <row r="108" spans="1:32" x14ac:dyDescent="0.25">
      <c r="O108" s="287" t="s">
        <v>263</v>
      </c>
      <c r="P108" s="287" t="s">
        <v>704</v>
      </c>
      <c r="Q108" s="330">
        <v>2.0742564110894026</v>
      </c>
      <c r="R108" s="288" t="s">
        <v>705</v>
      </c>
      <c r="S108" s="288" t="s">
        <v>692</v>
      </c>
      <c r="T108" s="292">
        <f>Q115</f>
        <v>2.0615345325742124E-2</v>
      </c>
      <c r="U108" s="262"/>
      <c r="V108" s="262" t="s">
        <v>630</v>
      </c>
      <c r="W108" s="262"/>
      <c r="X108" s="262"/>
      <c r="Y108" s="262"/>
      <c r="Z108" s="262" t="s">
        <v>599</v>
      </c>
      <c r="AA108" s="290"/>
      <c r="AB108" s="288" t="s">
        <v>629</v>
      </c>
      <c r="AC108" s="290">
        <v>15022.6</v>
      </c>
      <c r="AD108" s="290"/>
      <c r="AE108" s="290"/>
      <c r="AF108" s="290"/>
    </row>
    <row r="109" spans="1:32" x14ac:dyDescent="0.25">
      <c r="O109" s="287" t="s">
        <v>265</v>
      </c>
      <c r="P109" s="287" t="s">
        <v>632</v>
      </c>
      <c r="Q109" s="330">
        <v>2.5543048876060039E-2</v>
      </c>
      <c r="R109" s="262"/>
      <c r="S109" s="288"/>
      <c r="T109" s="289">
        <f>Q109</f>
        <v>2.5543048876060039E-2</v>
      </c>
      <c r="U109" s="262"/>
      <c r="V109" s="262" t="s">
        <v>626</v>
      </c>
      <c r="W109" s="262"/>
      <c r="X109" s="262"/>
      <c r="Y109" s="262"/>
      <c r="Z109" s="262" t="s">
        <v>599</v>
      </c>
      <c r="AA109" s="290"/>
      <c r="AB109" s="288" t="s">
        <v>704</v>
      </c>
      <c r="AC109" s="290">
        <v>54313.800999999999</v>
      </c>
      <c r="AD109" s="290"/>
      <c r="AE109" s="290"/>
      <c r="AF109" s="290"/>
    </row>
    <row r="110" spans="1:32" x14ac:dyDescent="0.25">
      <c r="O110" s="287"/>
      <c r="P110" s="287"/>
      <c r="Q110" s="331"/>
      <c r="R110" s="262"/>
      <c r="S110" s="288"/>
      <c r="T110" s="294"/>
      <c r="U110" s="262"/>
      <c r="V110" s="262" t="s">
        <v>615</v>
      </c>
      <c r="W110" s="262"/>
      <c r="X110" s="262"/>
      <c r="Y110" s="262"/>
      <c r="Z110" s="262" t="s">
        <v>599</v>
      </c>
      <c r="AA110" s="290"/>
      <c r="AB110" s="288" t="s">
        <v>632</v>
      </c>
      <c r="AC110" s="290">
        <v>24869.1</v>
      </c>
      <c r="AD110" s="290"/>
      <c r="AE110" s="290"/>
      <c r="AF110" s="290"/>
    </row>
    <row r="111" spans="1:32" x14ac:dyDescent="0.25">
      <c r="O111" s="287" t="s">
        <v>229</v>
      </c>
      <c r="P111" s="287"/>
      <c r="Q111" s="332">
        <v>3.4970807455924199E-3</v>
      </c>
      <c r="R111" s="262"/>
      <c r="S111" s="262"/>
      <c r="T111" s="262"/>
      <c r="U111" s="262"/>
      <c r="V111" s="262" t="s">
        <v>626</v>
      </c>
      <c r="W111" s="262"/>
      <c r="X111" s="262"/>
      <c r="Y111" s="262"/>
      <c r="Z111" s="262" t="s">
        <v>596</v>
      </c>
      <c r="AA111" s="290"/>
      <c r="AB111" s="288" t="s">
        <v>616</v>
      </c>
      <c r="AC111" s="290">
        <v>10682.2</v>
      </c>
      <c r="AD111" s="290"/>
      <c r="AE111" s="290"/>
      <c r="AF111" s="290"/>
    </row>
    <row r="112" spans="1:32" x14ac:dyDescent="0.25">
      <c r="O112" s="287" t="s">
        <v>227</v>
      </c>
      <c r="P112" s="287"/>
      <c r="Q112" s="332">
        <v>5.8650867847006745E-3</v>
      </c>
      <c r="R112" s="262"/>
      <c r="S112" s="262"/>
      <c r="T112" s="262"/>
      <c r="U112" s="262"/>
      <c r="V112" s="262" t="s">
        <v>598</v>
      </c>
      <c r="W112" s="262"/>
      <c r="X112" s="262"/>
      <c r="Y112" s="262"/>
      <c r="Z112" s="262" t="s">
        <v>599</v>
      </c>
      <c r="AA112" s="290"/>
      <c r="AB112" s="288" t="s">
        <v>706</v>
      </c>
      <c r="AC112" s="290">
        <v>1165.4301</v>
      </c>
      <c r="AD112" s="290"/>
      <c r="AE112" s="290"/>
      <c r="AF112" s="290"/>
    </row>
    <row r="113" spans="15:32" x14ac:dyDescent="0.25">
      <c r="O113" s="287" t="s">
        <v>225</v>
      </c>
      <c r="P113" s="287"/>
      <c r="Q113" s="332">
        <v>1.6946444649095119E-2</v>
      </c>
      <c r="R113" s="262"/>
      <c r="S113" s="262"/>
      <c r="T113" s="262"/>
      <c r="U113" s="262"/>
      <c r="V113" s="262" t="s">
        <v>598</v>
      </c>
      <c r="W113" s="262"/>
      <c r="X113" s="262"/>
      <c r="Y113" s="262"/>
      <c r="Z113" s="262" t="s">
        <v>596</v>
      </c>
      <c r="AA113" s="290"/>
      <c r="AB113" s="288" t="s">
        <v>707</v>
      </c>
      <c r="AC113" s="290">
        <v>15697.6</v>
      </c>
      <c r="AD113" s="290"/>
      <c r="AE113" s="290"/>
      <c r="AF113" s="290"/>
    </row>
    <row r="114" spans="15:32" x14ac:dyDescent="0.25">
      <c r="O114" s="287" t="s">
        <v>260</v>
      </c>
      <c r="P114" s="287"/>
      <c r="Q114" s="332">
        <v>3.9399324434441815E-2</v>
      </c>
      <c r="R114" s="262"/>
      <c r="S114" s="262"/>
      <c r="T114" s="262"/>
      <c r="U114" s="262"/>
      <c r="V114" s="262" t="s">
        <v>595</v>
      </c>
      <c r="W114" s="262"/>
      <c r="X114" s="262"/>
      <c r="Y114" s="262"/>
      <c r="Z114" s="262" t="s">
        <v>599</v>
      </c>
      <c r="AA114" s="290"/>
      <c r="AB114" s="288" t="s">
        <v>708</v>
      </c>
      <c r="AC114" s="290">
        <v>21751.5</v>
      </c>
      <c r="AD114" s="290"/>
      <c r="AE114" s="290"/>
      <c r="AF114" s="290"/>
    </row>
    <row r="115" spans="15:32" x14ac:dyDescent="0.25">
      <c r="O115" s="287" t="s">
        <v>262</v>
      </c>
      <c r="P115" s="287"/>
      <c r="Q115" s="332">
        <v>2.0615345325742124E-2</v>
      </c>
      <c r="R115" s="262"/>
      <c r="S115" s="262"/>
      <c r="T115" s="262"/>
      <c r="U115" s="262"/>
      <c r="V115" s="262"/>
      <c r="W115" s="262"/>
      <c r="X115" s="262"/>
      <c r="Y115" s="262"/>
      <c r="Z115" s="262" t="s">
        <v>596</v>
      </c>
      <c r="AA115" s="290"/>
      <c r="AB115" s="288" t="s">
        <v>709</v>
      </c>
      <c r="AC115" s="290">
        <v>6040.2201999999997</v>
      </c>
      <c r="AD115" s="290"/>
      <c r="AE115" s="290"/>
      <c r="AF115" s="290"/>
    </row>
    <row r="116" spans="15:32" x14ac:dyDescent="0.25">
      <c r="O116" s="287" t="s">
        <v>264</v>
      </c>
      <c r="P116" s="287"/>
      <c r="Q116" s="332">
        <v>1.1117839406732801E-2</v>
      </c>
      <c r="R116" s="262"/>
      <c r="S116" s="262"/>
      <c r="T116" s="262"/>
      <c r="U116" s="262"/>
      <c r="V116" s="262"/>
      <c r="W116" s="262"/>
      <c r="X116" s="262"/>
      <c r="Y116" s="262"/>
      <c r="Z116" s="262"/>
      <c r="AA116" s="262"/>
      <c r="AB116" s="262"/>
      <c r="AC116" s="262"/>
      <c r="AD116" s="262"/>
      <c r="AE116" s="262"/>
      <c r="AF116" s="262"/>
    </row>
    <row r="117" spans="15:32" x14ac:dyDescent="0.25">
      <c r="O117" s="262"/>
      <c r="P117" s="262"/>
      <c r="Q117" s="262"/>
      <c r="R117" s="262"/>
      <c r="S117" s="262"/>
      <c r="T117" s="262"/>
      <c r="U117" s="262"/>
      <c r="V117" s="262"/>
      <c r="W117" s="262"/>
      <c r="X117" s="262"/>
      <c r="Y117" s="262"/>
      <c r="Z117" s="262"/>
      <c r="AA117" s="262"/>
      <c r="AB117" s="262"/>
      <c r="AC117" s="262"/>
      <c r="AD117" s="262"/>
      <c r="AE117" s="262"/>
      <c r="AF117" s="262"/>
    </row>
    <row r="118" spans="15:32" ht="90" x14ac:dyDescent="0.25">
      <c r="O118" s="295" t="s">
        <v>0</v>
      </c>
      <c r="P118" s="296"/>
      <c r="Q118" s="297" t="s">
        <v>710</v>
      </c>
      <c r="R118" s="297" t="s">
        <v>711</v>
      </c>
      <c r="S118" s="297" t="s">
        <v>712</v>
      </c>
      <c r="T118" s="297" t="s">
        <v>713</v>
      </c>
      <c r="U118" s="262"/>
      <c r="V118" s="262"/>
      <c r="W118" s="262"/>
      <c r="X118" s="262"/>
      <c r="Y118" s="262"/>
      <c r="Z118" s="262"/>
      <c r="AA118" s="262"/>
      <c r="AB118" s="262"/>
      <c r="AC118" s="262"/>
      <c r="AD118" s="262"/>
      <c r="AE118" s="262"/>
      <c r="AF118" s="262"/>
    </row>
    <row r="119" spans="15:32" x14ac:dyDescent="0.25">
      <c r="Q119" s="15"/>
      <c r="Z119" s="262"/>
      <c r="AA119" s="262"/>
      <c r="AB119" s="262"/>
      <c r="AC119" s="262"/>
      <c r="AD119" s="262"/>
      <c r="AE119" s="262"/>
      <c r="AF119" s="262"/>
    </row>
    <row r="120" spans="15:32" x14ac:dyDescent="0.25">
      <c r="Q120" s="30" t="s">
        <v>750</v>
      </c>
    </row>
  </sheetData>
  <mergeCells count="9">
    <mergeCell ref="A1:A2"/>
    <mergeCell ref="AD18:AE18"/>
    <mergeCell ref="AP18:AQ18"/>
    <mergeCell ref="AR18:AT18"/>
    <mergeCell ref="AX18:AZ18"/>
    <mergeCell ref="C1:D1"/>
    <mergeCell ref="E18:M18"/>
    <mergeCell ref="O18:U18"/>
    <mergeCell ref="W18:X18"/>
  </mergeCells>
  <pageMargins left="0.7" right="0.7" top="0.75" bottom="0.75" header="0.3" footer="0.3"/>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20"/>
  <sheetViews>
    <sheetView tabSelected="1" topLeftCell="A7" zoomScale="70" zoomScaleNormal="70" zoomScalePageLayoutView="70" workbookViewId="0">
      <selection activeCell="H28" sqref="H28"/>
    </sheetView>
  </sheetViews>
  <sheetFormatPr baseColWidth="10" defaultColWidth="9.140625" defaultRowHeight="15" x14ac:dyDescent="0.25"/>
  <cols>
    <col min="1" max="1" width="24.5703125" customWidth="1"/>
    <col min="2" max="2" width="17.85546875" customWidth="1"/>
    <col min="3" max="3" width="13.140625" bestFit="1" customWidth="1"/>
    <col min="4" max="4" width="13.85546875" bestFit="1" customWidth="1"/>
    <col min="5" max="5" width="12.140625" bestFit="1" customWidth="1"/>
    <col min="6" max="6" width="11.42578125" customWidth="1"/>
    <col min="7" max="7" width="12.85546875" customWidth="1"/>
    <col min="8" max="8" width="25.85546875" customWidth="1"/>
    <col min="9" max="9" width="12" style="49" customWidth="1"/>
    <col min="10" max="10" width="15.85546875" style="49" bestFit="1" customWidth="1"/>
    <col min="11" max="11" width="14.85546875" bestFit="1" customWidth="1"/>
    <col min="12" max="15" width="12.42578125" customWidth="1"/>
    <col min="16" max="16" width="14.140625" customWidth="1"/>
    <col min="17" max="17" width="14" customWidth="1"/>
    <col min="18" max="18" width="14.85546875" customWidth="1"/>
    <col min="19" max="19" width="15.42578125" customWidth="1"/>
    <col min="20" max="20" width="11.85546875" customWidth="1"/>
    <col min="21" max="21" width="12.85546875" customWidth="1"/>
    <col min="22" max="22" width="10.85546875" customWidth="1"/>
    <col min="23" max="23" width="13.140625" bestFit="1" customWidth="1"/>
    <col min="24" max="25" width="13.140625" customWidth="1"/>
    <col min="26" max="26" width="24.5703125" bestFit="1" customWidth="1"/>
    <col min="27" max="27" width="11.85546875" customWidth="1"/>
    <col min="28" max="28" width="17.140625" customWidth="1"/>
    <col min="29" max="29" width="12.42578125" customWidth="1"/>
    <col min="30" max="33" width="17.140625" customWidth="1"/>
    <col min="34" max="34" width="11" customWidth="1"/>
    <col min="35" max="36" width="24.42578125" bestFit="1" customWidth="1"/>
    <col min="37" max="37" width="13.85546875" bestFit="1" customWidth="1"/>
    <col min="38" max="40" width="13.85546875" customWidth="1"/>
    <col min="41" max="41" width="16.140625" customWidth="1"/>
    <col min="42" max="42" width="22.85546875" customWidth="1"/>
    <col min="43" max="43" width="27.85546875" customWidth="1"/>
    <col min="44" max="44" width="13.42578125" bestFit="1" customWidth="1"/>
    <col min="45" max="46" width="12.85546875" bestFit="1" customWidth="1"/>
    <col min="47" max="47" width="4.140625" customWidth="1"/>
    <col min="48" max="48" width="5" customWidth="1"/>
    <col min="49" max="49" width="25.140625" bestFit="1" customWidth="1"/>
    <col min="50" max="52" width="17" customWidth="1"/>
    <col min="53" max="53" width="15.42578125" customWidth="1"/>
  </cols>
  <sheetData>
    <row r="1" spans="1:22" x14ac:dyDescent="0.25">
      <c r="A1" s="541" t="s">
        <v>771</v>
      </c>
      <c r="B1" s="447"/>
      <c r="C1" s="536" t="s">
        <v>770</v>
      </c>
      <c r="D1" s="537"/>
      <c r="E1" s="448"/>
      <c r="F1" s="448"/>
      <c r="G1" s="448"/>
      <c r="H1" s="449"/>
      <c r="I1" s="449"/>
      <c r="J1" s="448"/>
      <c r="K1" s="448"/>
      <c r="L1" s="448"/>
      <c r="M1" s="448"/>
      <c r="N1" s="448"/>
      <c r="O1" s="448"/>
      <c r="P1" s="448"/>
      <c r="Q1" s="448"/>
      <c r="R1" s="448"/>
      <c r="S1" s="448"/>
      <c r="T1" s="448"/>
      <c r="U1" s="448"/>
    </row>
    <row r="2" spans="1:22" ht="15.75" thickBot="1" x14ac:dyDescent="0.3">
      <c r="A2" s="542"/>
      <c r="B2" s="451" t="s">
        <v>744</v>
      </c>
      <c r="C2" s="451" t="s">
        <v>747</v>
      </c>
      <c r="D2" s="452" t="s">
        <v>748</v>
      </c>
      <c r="E2" s="448"/>
      <c r="F2" s="448"/>
      <c r="G2" s="448"/>
      <c r="H2" s="448"/>
      <c r="I2" s="448"/>
      <c r="J2" s="449"/>
      <c r="K2" s="448"/>
      <c r="L2" s="448"/>
      <c r="M2" s="448"/>
      <c r="N2" s="448"/>
      <c r="O2" s="448"/>
      <c r="P2" s="448"/>
      <c r="Q2" s="448"/>
      <c r="R2" s="448"/>
      <c r="S2" s="448"/>
      <c r="T2" s="448"/>
      <c r="U2" s="448"/>
    </row>
    <row r="3" spans="1:22" x14ac:dyDescent="0.2">
      <c r="A3" s="453" t="s">
        <v>745</v>
      </c>
      <c r="B3" s="454">
        <v>915</v>
      </c>
      <c r="C3" s="454" t="s">
        <v>210</v>
      </c>
      <c r="D3" s="455">
        <v>2.1</v>
      </c>
      <c r="E3" s="448"/>
      <c r="F3" s="448"/>
      <c r="G3" s="448"/>
      <c r="H3" s="448"/>
      <c r="I3" s="449"/>
      <c r="J3" s="449"/>
      <c r="K3" s="448"/>
      <c r="L3" s="448"/>
      <c r="M3" s="448"/>
      <c r="N3" s="448"/>
      <c r="O3" s="448"/>
      <c r="P3" s="448"/>
      <c r="Q3" s="448"/>
      <c r="R3" s="448"/>
      <c r="S3" s="448"/>
      <c r="T3" s="448"/>
      <c r="U3" s="448"/>
    </row>
    <row r="4" spans="1:22" ht="15.95" thickBot="1" x14ac:dyDescent="0.25">
      <c r="A4" s="456" t="s">
        <v>746</v>
      </c>
      <c r="B4" s="457">
        <v>960</v>
      </c>
      <c r="C4" s="457">
        <v>0.6</v>
      </c>
      <c r="D4" s="458">
        <v>2</v>
      </c>
      <c r="E4" s="448"/>
      <c r="F4" s="448"/>
      <c r="G4" s="448"/>
      <c r="H4" s="448"/>
      <c r="I4" s="449"/>
      <c r="J4" s="449"/>
      <c r="K4" s="448"/>
      <c r="L4" s="448"/>
      <c r="M4" s="448"/>
      <c r="N4" s="448"/>
      <c r="O4" s="448"/>
      <c r="P4" s="448"/>
      <c r="Q4" s="448"/>
      <c r="R4" s="448"/>
      <c r="S4" s="448"/>
      <c r="T4" s="448"/>
      <c r="U4" s="448"/>
    </row>
    <row r="5" spans="1:22" ht="15.95" thickBot="1" x14ac:dyDescent="0.25">
      <c r="A5" s="453"/>
      <c r="B5" s="459"/>
      <c r="C5" s="459"/>
      <c r="D5" s="459"/>
      <c r="E5" s="454"/>
      <c r="F5" s="454"/>
      <c r="G5" s="448"/>
      <c r="H5" s="448"/>
      <c r="I5" s="448"/>
      <c r="J5" s="449"/>
      <c r="K5" s="449"/>
      <c r="L5" s="449"/>
      <c r="M5" s="448"/>
      <c r="N5" s="448"/>
      <c r="O5" s="448"/>
      <c r="P5" s="448"/>
      <c r="Q5" s="448"/>
      <c r="R5" s="448"/>
      <c r="S5" s="448"/>
      <c r="T5" s="448"/>
      <c r="U5" s="448"/>
      <c r="V5" s="448"/>
    </row>
    <row r="6" spans="1:22" x14ac:dyDescent="0.2">
      <c r="A6" s="460" t="s">
        <v>818</v>
      </c>
      <c r="B6" s="447"/>
      <c r="C6" s="461"/>
      <c r="D6" s="459"/>
      <c r="E6" s="449"/>
      <c r="F6" s="448"/>
      <c r="G6" s="448"/>
      <c r="H6" s="448"/>
      <c r="I6" s="449"/>
      <c r="J6" s="449"/>
      <c r="K6" s="449"/>
      <c r="L6" s="448"/>
      <c r="M6" s="448"/>
      <c r="N6" s="448"/>
      <c r="O6" s="448"/>
      <c r="P6" s="448"/>
      <c r="Q6" s="448"/>
      <c r="R6" s="448"/>
      <c r="S6" s="448"/>
      <c r="T6" s="448"/>
      <c r="U6" s="448"/>
      <c r="V6" s="448"/>
    </row>
    <row r="7" spans="1:22" ht="15.95" thickBot="1" x14ac:dyDescent="0.25">
      <c r="A7" s="376" t="s">
        <v>595</v>
      </c>
      <c r="B7" s="377" t="s">
        <v>601</v>
      </c>
      <c r="C7" s="380">
        <f>IF(B7="MG",$D$4,$D$3)</f>
        <v>2</v>
      </c>
      <c r="D7" s="375"/>
      <c r="E7" s="449"/>
      <c r="F7" s="448"/>
      <c r="G7" s="448"/>
      <c r="H7" s="448"/>
      <c r="I7" s="449"/>
      <c r="J7" s="449"/>
      <c r="K7" s="449"/>
      <c r="L7" s="448"/>
      <c r="M7" s="448"/>
      <c r="N7" s="448"/>
      <c r="O7" s="448"/>
      <c r="P7" s="448"/>
      <c r="Q7" s="448"/>
      <c r="R7" s="448"/>
      <c r="S7" s="448"/>
      <c r="T7" s="448"/>
      <c r="U7" s="448"/>
      <c r="V7" s="448"/>
    </row>
    <row r="8" spans="1:22" ht="15.75" customHeight="1" thickBot="1" x14ac:dyDescent="0.25">
      <c r="A8" s="448"/>
      <c r="B8" s="448"/>
      <c r="C8" s="448"/>
      <c r="D8" s="448"/>
      <c r="E8" s="448"/>
      <c r="F8" s="448"/>
      <c r="G8" s="448"/>
      <c r="H8" s="448"/>
      <c r="I8" s="448"/>
      <c r="J8" s="449"/>
      <c r="K8" s="449"/>
      <c r="L8" s="449"/>
      <c r="M8" s="448"/>
      <c r="N8" s="448"/>
      <c r="O8" s="448"/>
      <c r="P8" s="448"/>
      <c r="Q8" s="448"/>
      <c r="R8" s="448"/>
      <c r="S8" s="448"/>
      <c r="T8" s="448"/>
      <c r="U8" s="448"/>
      <c r="V8" s="448"/>
    </row>
    <row r="9" spans="1:22" x14ac:dyDescent="0.2">
      <c r="A9" s="460" t="s">
        <v>819</v>
      </c>
      <c r="B9" s="447"/>
      <c r="C9" s="461"/>
      <c r="D9" s="459"/>
      <c r="E9" s="449"/>
      <c r="F9" s="448"/>
      <c r="G9" s="448"/>
      <c r="H9" s="448"/>
      <c r="I9" s="449"/>
      <c r="J9" s="449"/>
      <c r="K9" s="449"/>
      <c r="L9" s="448"/>
      <c r="M9" s="448"/>
      <c r="N9" s="448"/>
      <c r="O9" s="448"/>
      <c r="P9" s="448"/>
      <c r="Q9" s="448"/>
      <c r="R9" s="448"/>
      <c r="S9" s="448"/>
      <c r="T9" s="448"/>
      <c r="U9" s="448"/>
      <c r="V9" s="448"/>
    </row>
    <row r="10" spans="1:22" x14ac:dyDescent="0.2">
      <c r="A10" s="374" t="s">
        <v>598</v>
      </c>
      <c r="B10" s="375" t="s">
        <v>601</v>
      </c>
      <c r="C10" s="379">
        <f>IF(B10="MG",$C$4,$D$4)</f>
        <v>0.6</v>
      </c>
      <c r="D10" s="375"/>
      <c r="E10" s="449"/>
      <c r="F10" s="448"/>
      <c r="G10" s="448"/>
      <c r="H10" s="448"/>
      <c r="I10" s="449"/>
      <c r="J10" s="449"/>
      <c r="K10" s="449"/>
      <c r="L10" s="448"/>
      <c r="M10" s="448"/>
      <c r="N10" s="448"/>
      <c r="O10" s="448"/>
      <c r="P10" s="448"/>
      <c r="Q10" s="448"/>
      <c r="R10" s="448"/>
      <c r="S10" s="448"/>
      <c r="T10" s="448"/>
      <c r="U10" s="448"/>
      <c r="V10" s="448"/>
    </row>
    <row r="11" spans="1:22" x14ac:dyDescent="0.2">
      <c r="A11" s="374" t="s">
        <v>630</v>
      </c>
      <c r="B11" s="375" t="s">
        <v>820</v>
      </c>
      <c r="C11" s="379">
        <f>IF(B11="MG",$C$4,$D$4)</f>
        <v>2</v>
      </c>
      <c r="D11" s="375"/>
      <c r="E11" s="449"/>
      <c r="F11" s="448"/>
      <c r="G11" s="448"/>
      <c r="H11" s="448"/>
      <c r="I11" s="449"/>
      <c r="J11" s="449"/>
      <c r="K11" s="449"/>
      <c r="L11" s="448"/>
      <c r="M11" s="448"/>
      <c r="N11" s="448"/>
      <c r="O11" s="448"/>
      <c r="P11" s="448"/>
      <c r="Q11" s="448"/>
      <c r="R11" s="448"/>
      <c r="S11" s="448"/>
      <c r="T11" s="448"/>
      <c r="U11" s="448"/>
      <c r="V11" s="448"/>
    </row>
    <row r="12" spans="1:22" x14ac:dyDescent="0.2">
      <c r="A12" s="448"/>
      <c r="B12" s="448"/>
      <c r="C12" s="448"/>
      <c r="D12" s="448"/>
      <c r="E12" s="448"/>
      <c r="F12" s="448"/>
      <c r="G12" s="448"/>
      <c r="H12" s="448"/>
      <c r="I12" s="448"/>
      <c r="J12" s="449"/>
      <c r="K12" s="449"/>
      <c r="L12" s="449"/>
      <c r="M12" s="448"/>
      <c r="N12" s="448"/>
      <c r="O12" s="448"/>
      <c r="P12" s="448"/>
      <c r="Q12" s="448"/>
      <c r="R12" s="448"/>
      <c r="S12" s="448"/>
      <c r="T12" s="448"/>
      <c r="U12" s="448"/>
      <c r="V12" s="448"/>
    </row>
    <row r="13" spans="1:22" ht="15.95" thickBot="1" x14ac:dyDescent="0.25">
      <c r="A13" s="448"/>
      <c r="B13" s="448"/>
      <c r="C13" s="448"/>
      <c r="D13" s="448"/>
      <c r="E13" s="448"/>
      <c r="F13" s="448"/>
      <c r="G13" s="448"/>
      <c r="H13" s="448"/>
      <c r="I13" s="448"/>
      <c r="J13" s="449"/>
      <c r="K13" s="449"/>
      <c r="L13" s="449"/>
      <c r="M13" s="448"/>
      <c r="N13" s="448"/>
      <c r="O13" s="448"/>
      <c r="P13" s="448"/>
      <c r="Q13" s="448"/>
      <c r="R13" s="448"/>
      <c r="S13" s="448"/>
      <c r="T13" s="448"/>
      <c r="U13" s="448"/>
      <c r="V13" s="448"/>
    </row>
    <row r="14" spans="1:22" ht="15.95" thickBot="1" x14ac:dyDescent="0.25">
      <c r="A14" s="462" t="s">
        <v>774</v>
      </c>
      <c r="B14" s="463"/>
      <c r="C14" s="464"/>
      <c r="D14" s="459"/>
      <c r="E14" s="448"/>
      <c r="F14" s="448"/>
      <c r="G14" s="448"/>
      <c r="H14" s="448"/>
      <c r="I14" s="448"/>
      <c r="J14" s="449"/>
      <c r="K14" s="449"/>
      <c r="L14" s="449"/>
      <c r="M14" s="448"/>
      <c r="N14" s="448"/>
      <c r="O14" s="448"/>
      <c r="P14" s="448"/>
      <c r="Q14" s="448"/>
      <c r="R14" s="448"/>
      <c r="S14" s="448"/>
      <c r="T14" s="448"/>
      <c r="U14" s="448"/>
      <c r="V14" s="448"/>
    </row>
    <row r="15" spans="1:22" x14ac:dyDescent="0.25">
      <c r="A15" s="465" t="s">
        <v>564</v>
      </c>
      <c r="B15" s="454">
        <f>0.98*10^6</f>
        <v>980000</v>
      </c>
      <c r="C15" s="466" t="s">
        <v>565</v>
      </c>
      <c r="D15" s="515"/>
      <c r="E15" s="448"/>
      <c r="F15" s="448"/>
      <c r="G15" s="448"/>
      <c r="H15" s="448"/>
      <c r="I15" s="448"/>
      <c r="J15" s="449"/>
      <c r="K15" s="449"/>
      <c r="L15" s="449"/>
      <c r="M15" s="448"/>
      <c r="N15" s="448"/>
      <c r="O15" s="448"/>
      <c r="P15" s="448"/>
      <c r="Q15" s="448"/>
      <c r="R15" s="448"/>
      <c r="S15" s="448"/>
      <c r="T15" s="448"/>
      <c r="U15" s="448"/>
      <c r="V15" s="448"/>
    </row>
    <row r="16" spans="1:22" ht="15.95" thickBot="1" x14ac:dyDescent="0.25">
      <c r="A16" s="456" t="s">
        <v>772</v>
      </c>
      <c r="B16" s="457">
        <v>0.01</v>
      </c>
      <c r="C16" s="452" t="s">
        <v>773</v>
      </c>
      <c r="D16" s="515"/>
      <c r="E16" s="448"/>
      <c r="F16" s="448"/>
      <c r="G16" s="448"/>
      <c r="H16" s="448"/>
      <c r="I16" s="448"/>
      <c r="J16" s="449"/>
      <c r="K16" s="449"/>
      <c r="L16" s="449"/>
      <c r="M16" s="448"/>
      <c r="N16" s="448"/>
      <c r="O16" s="448"/>
      <c r="P16" s="448"/>
      <c r="Q16" s="448"/>
      <c r="R16" s="448"/>
      <c r="S16" s="448"/>
      <c r="T16" s="448"/>
      <c r="U16" s="448"/>
      <c r="V16" s="448"/>
    </row>
    <row r="17" spans="1:46" ht="15.95" thickBot="1" x14ac:dyDescent="0.25">
      <c r="A17" s="448"/>
      <c r="B17" s="448"/>
      <c r="E17" s="448"/>
      <c r="F17" s="448"/>
      <c r="G17" s="448"/>
      <c r="H17" s="448"/>
      <c r="I17" s="448"/>
      <c r="J17" s="449"/>
      <c r="K17" s="449"/>
      <c r="L17" s="449"/>
      <c r="M17" s="448"/>
      <c r="N17" s="448"/>
      <c r="O17" s="448"/>
      <c r="P17" s="448"/>
      <c r="Q17" s="448"/>
      <c r="R17" s="448"/>
      <c r="S17" s="448"/>
      <c r="T17" s="448"/>
      <c r="U17" s="448"/>
      <c r="V17" s="448"/>
    </row>
    <row r="18" spans="1:46" ht="33" customHeight="1" thickBot="1" x14ac:dyDescent="0.25">
      <c r="A18" s="554" t="s">
        <v>828</v>
      </c>
      <c r="B18" s="555"/>
      <c r="C18" s="555"/>
      <c r="D18" s="555"/>
      <c r="E18" s="555"/>
      <c r="F18" s="555"/>
      <c r="G18" s="555"/>
      <c r="H18" s="556"/>
      <c r="I18" s="552" t="s">
        <v>566</v>
      </c>
      <c r="J18" s="553"/>
      <c r="K18" s="553"/>
      <c r="L18" s="553"/>
      <c r="M18" s="553"/>
      <c r="N18" s="553"/>
      <c r="O18" s="553"/>
      <c r="P18" s="553"/>
      <c r="T18" s="218" t="s">
        <v>568</v>
      </c>
      <c r="U18" s="514"/>
      <c r="V18" s="543"/>
      <c r="W18" s="543"/>
      <c r="X18" s="220"/>
      <c r="Y18" s="220"/>
      <c r="Z18" s="220" t="s">
        <v>769</v>
      </c>
      <c r="AH18" s="543"/>
      <c r="AI18" s="543"/>
      <c r="AJ18" s="544" t="s">
        <v>592</v>
      </c>
      <c r="AK18" s="545"/>
      <c r="AL18" s="546"/>
      <c r="AP18" s="544" t="s">
        <v>756</v>
      </c>
      <c r="AQ18" s="545"/>
      <c r="AR18" s="546"/>
    </row>
    <row r="19" spans="1:46" s="100" customFormat="1" ht="45.95" thickBot="1" x14ac:dyDescent="0.25">
      <c r="A19" s="221" t="s">
        <v>569</v>
      </c>
      <c r="B19" s="221" t="s">
        <v>570</v>
      </c>
      <c r="C19" s="221" t="s">
        <v>719</v>
      </c>
      <c r="D19" s="221" t="s">
        <v>824</v>
      </c>
      <c r="E19" s="221" t="s">
        <v>825</v>
      </c>
      <c r="F19" s="221" t="s">
        <v>826</v>
      </c>
      <c r="G19" s="221" t="s">
        <v>827</v>
      </c>
      <c r="H19" s="221" t="s">
        <v>573</v>
      </c>
      <c r="I19" s="516" t="s">
        <v>574</v>
      </c>
      <c r="J19" s="378" t="s">
        <v>575</v>
      </c>
      <c r="K19" s="378" t="s">
        <v>576</v>
      </c>
      <c r="L19" s="378" t="s">
        <v>577</v>
      </c>
      <c r="M19" s="378" t="s">
        <v>578</v>
      </c>
      <c r="N19" s="378" t="s">
        <v>749</v>
      </c>
      <c r="O19" s="378" t="s">
        <v>579</v>
      </c>
      <c r="P19" s="473" t="s">
        <v>580</v>
      </c>
      <c r="T19" s="222" t="s">
        <v>588</v>
      </c>
      <c r="U19" s="223" t="s">
        <v>589</v>
      </c>
      <c r="V19" s="224" t="s">
        <v>590</v>
      </c>
      <c r="W19" s="224" t="s">
        <v>591</v>
      </c>
      <c r="X19" s="224" t="s">
        <v>592</v>
      </c>
      <c r="Y19" s="225" t="s">
        <v>593</v>
      </c>
      <c r="Z19" s="225" t="s">
        <v>594</v>
      </c>
      <c r="AA19" s="225" t="s">
        <v>760</v>
      </c>
      <c r="AC19" s="100" t="s">
        <v>758</v>
      </c>
      <c r="AD19" s="100" t="s">
        <v>757</v>
      </c>
      <c r="AF19" s="100" t="s">
        <v>757</v>
      </c>
      <c r="AI19" s="221" t="s">
        <v>591</v>
      </c>
      <c r="AJ19" s="221" t="s">
        <v>592</v>
      </c>
      <c r="AK19" s="221" t="s">
        <v>605</v>
      </c>
      <c r="AL19" s="221" t="s">
        <v>608</v>
      </c>
      <c r="AM19" s="221" t="s">
        <v>611</v>
      </c>
      <c r="AN19"/>
      <c r="AO19"/>
      <c r="AP19" s="221" t="s">
        <v>759</v>
      </c>
      <c r="AQ19" s="221" t="s">
        <v>605</v>
      </c>
      <c r="AR19" s="221" t="s">
        <v>608</v>
      </c>
      <c r="AS19" s="221" t="s">
        <v>611</v>
      </c>
    </row>
    <row r="20" spans="1:46" x14ac:dyDescent="0.2">
      <c r="A20" s="517" t="s">
        <v>595</v>
      </c>
      <c r="B20" s="518" t="s">
        <v>596</v>
      </c>
      <c r="C20" s="519" t="s">
        <v>199</v>
      </c>
      <c r="D20" s="518">
        <v>1</v>
      </c>
      <c r="E20" s="519" t="s">
        <v>597</v>
      </c>
      <c r="F20" s="520" t="s">
        <v>821</v>
      </c>
      <c r="G20" s="521">
        <v>17140.800999999999</v>
      </c>
      <c r="H20" s="531">
        <v>42474.577777777777</v>
      </c>
      <c r="I20" s="387" t="str">
        <f>IF(A20="Speich",$B$7,IF(A20="Friess",$B$10,IF(A20="Mathis",$B$11)))</f>
        <v>MG</v>
      </c>
      <c r="J20" s="387">
        <f>J40</f>
        <v>960</v>
      </c>
      <c r="K20" s="390">
        <v>1.71408</v>
      </c>
      <c r="L20" s="391" t="b">
        <f>IF(A20="Speich***",$C$7,IF(A20="Friess",$C$10,IF(A20="Mathis",$C$11)))</f>
        <v>0</v>
      </c>
      <c r="M20" s="390">
        <f>J20*K20*L20</f>
        <v>0</v>
      </c>
      <c r="N20" s="390">
        <f>M20/G20</f>
        <v>0</v>
      </c>
      <c r="O20" s="392">
        <f>$B$72</f>
        <v>-32.267470588235291</v>
      </c>
      <c r="P20" s="493">
        <f>M20/$M$41</f>
        <v>0</v>
      </c>
      <c r="T20" s="232" t="str">
        <f>A21</f>
        <v>Friess</v>
      </c>
      <c r="U20" s="233" t="str">
        <f>E21</f>
        <v>N-2</v>
      </c>
      <c r="V20" s="233">
        <f>G21</f>
        <v>43903.300999999999</v>
      </c>
      <c r="W20" s="234">
        <v>42449</v>
      </c>
      <c r="X20" s="233">
        <f>M21</f>
        <v>2528.8300799999993</v>
      </c>
      <c r="Y20" s="233">
        <f>(X20/V20)*(1/$B$15)*(1/$B$16)*10^6</f>
        <v>5.8775508865332391</v>
      </c>
      <c r="Z20" s="233"/>
      <c r="AA20" s="233"/>
      <c r="AB20" s="235"/>
      <c r="AC20" s="235"/>
      <c r="AD20" s="356"/>
      <c r="AE20" s="235"/>
      <c r="AF20" s="236"/>
      <c r="AG20" s="237"/>
      <c r="AH20" s="237"/>
      <c r="AI20" s="238">
        <f>W20</f>
        <v>42449</v>
      </c>
      <c r="AJ20" s="231">
        <f>SUM(X20:X25)</f>
        <v>5465.2147199999999</v>
      </c>
      <c r="AK20" s="229">
        <f>SUM(X20)</f>
        <v>2528.8300799999993</v>
      </c>
      <c r="AL20" s="229">
        <f>SUM(X21:X22)</f>
        <v>2071.0828799999999</v>
      </c>
      <c r="AM20" s="229">
        <f>SUM(X23:X25)</f>
        <v>865.30175999999994</v>
      </c>
      <c r="AN20" s="238"/>
      <c r="AO20" s="238"/>
      <c r="AP20" s="231">
        <f>SUM(AQ20:AS20)</f>
        <v>4212.3283199999996</v>
      </c>
      <c r="AQ20" s="231">
        <f>SUM(X20)</f>
        <v>2528.8300799999993</v>
      </c>
      <c r="AR20" s="231">
        <f>SUM(X21)</f>
        <v>818.19647999999995</v>
      </c>
      <c r="AS20" s="231">
        <f>SUM(X23,X25)</f>
        <v>865.30175999999994</v>
      </c>
    </row>
    <row r="21" spans="1:46" x14ac:dyDescent="0.2">
      <c r="A21" s="517" t="s">
        <v>598</v>
      </c>
      <c r="B21" s="518" t="s">
        <v>599</v>
      </c>
      <c r="C21" s="519" t="s">
        <v>199</v>
      </c>
      <c r="D21" s="518">
        <v>2</v>
      </c>
      <c r="E21" s="519" t="s">
        <v>600</v>
      </c>
      <c r="F21" s="520" t="s">
        <v>821</v>
      </c>
      <c r="G21" s="521">
        <v>43903.300999999999</v>
      </c>
      <c r="H21" s="531">
        <v>42454.00277777778</v>
      </c>
      <c r="I21" s="375" t="str">
        <f>IF(A21="Speich",$B$7,IF(A21="Friess",$B$10,IF(A21="Mathis",$B$11)))</f>
        <v>MG</v>
      </c>
      <c r="J21" s="400">
        <f>IF(I21="MG",$B$4,$B$3)</f>
        <v>960</v>
      </c>
      <c r="K21" s="401">
        <v>4.3903299999999996</v>
      </c>
      <c r="L21" s="402">
        <f>IF(A21="Speich",$C$7,IF(A21="Friess",$C$10,IF(A21="Mathis",$C$11)))</f>
        <v>0.6</v>
      </c>
      <c r="M21" s="401">
        <f>J21*K21*L21</f>
        <v>2528.8300799999993</v>
      </c>
      <c r="N21" s="401">
        <f t="shared" ref="N21:N40" si="0">M21/G21</f>
        <v>5.759999868802574E-2</v>
      </c>
      <c r="O21" s="403">
        <f>$B$72</f>
        <v>-32.267470588235291</v>
      </c>
      <c r="P21" s="495">
        <f>M21/$M$41</f>
        <v>0.10259195410212731</v>
      </c>
      <c r="T21" s="240" t="str">
        <f>A32</f>
        <v>Friess</v>
      </c>
      <c r="U21" s="241" t="str">
        <f>E32</f>
        <v>T-9</v>
      </c>
      <c r="V21" s="241">
        <f>G32</f>
        <v>14204.8</v>
      </c>
      <c r="W21" s="242">
        <v>42449</v>
      </c>
      <c r="X21" s="241">
        <f>M32</f>
        <v>818.19647999999995</v>
      </c>
      <c r="Y21" s="241">
        <f>(X21/V21)*(1/$B$15)*(1/$B$16)*10^6</f>
        <v>5.8775510204081636</v>
      </c>
      <c r="Z21" s="241"/>
      <c r="AA21" s="241"/>
      <c r="AB21" s="237"/>
      <c r="AC21" s="237"/>
      <c r="AD21" s="357"/>
      <c r="AE21" s="237"/>
      <c r="AF21" s="243"/>
      <c r="AG21" s="237"/>
      <c r="AH21" s="237"/>
      <c r="AI21" s="238">
        <f>W25</f>
        <v>42454</v>
      </c>
      <c r="AJ21" s="339" t="s">
        <v>602</v>
      </c>
      <c r="AK21" s="338"/>
      <c r="AL21" s="338"/>
      <c r="AM21" s="338"/>
      <c r="AN21" s="238"/>
      <c r="AO21" s="238"/>
      <c r="AP21" s="231"/>
    </row>
    <row r="22" spans="1:46" x14ac:dyDescent="0.2">
      <c r="A22" s="522" t="s">
        <v>603</v>
      </c>
      <c r="B22" s="274" t="s">
        <v>596</v>
      </c>
      <c r="C22" s="274" t="s">
        <v>199</v>
      </c>
      <c r="D22" s="274">
        <v>3</v>
      </c>
      <c r="E22" s="274" t="s">
        <v>604</v>
      </c>
      <c r="F22" s="274" t="s">
        <v>821</v>
      </c>
      <c r="G22" s="523">
        <v>29073.1</v>
      </c>
      <c r="H22" s="531">
        <v>42519.506944444445</v>
      </c>
      <c r="I22" s="353" t="str">
        <f t="shared" ref="I22:I40" si="1">IF(A22="Speich",$B$7,IF(A22="Friess",$B$10,IF(A22="Mathis",$B$11,IF(A22="Schmitt","DG","MG"))))</f>
        <v>MG</v>
      </c>
      <c r="J22" s="353">
        <v>0</v>
      </c>
      <c r="K22" s="241">
        <f>G22/10000</f>
        <v>2.9073099999999998</v>
      </c>
      <c r="L22" s="353">
        <v>0</v>
      </c>
      <c r="M22" s="353">
        <v>0</v>
      </c>
      <c r="N22" s="353">
        <f t="shared" si="0"/>
        <v>0</v>
      </c>
      <c r="O22" s="353" t="s">
        <v>210</v>
      </c>
      <c r="P22" s="359">
        <v>0</v>
      </c>
      <c r="T22" s="240" t="str">
        <f>A35</f>
        <v>Friess</v>
      </c>
      <c r="U22" s="244" t="str">
        <f>E35</f>
        <v>T-43</v>
      </c>
      <c r="V22" s="241">
        <f>G35</f>
        <v>21751.5</v>
      </c>
      <c r="W22" s="242">
        <v>42449</v>
      </c>
      <c r="X22" s="241">
        <f>M35</f>
        <v>1252.8863999999999</v>
      </c>
      <c r="Y22" s="241">
        <f>(X22/V22)*(1/$B$15)*(1/$B$16)*10^6</f>
        <v>5.8775510204081627</v>
      </c>
      <c r="Z22" s="241" t="s">
        <v>605</v>
      </c>
      <c r="AA22" s="241">
        <f>Y20*V20/AC41</f>
        <v>2.5367633517799928</v>
      </c>
      <c r="AB22" s="333" t="s">
        <v>605</v>
      </c>
      <c r="AC22" s="251">
        <f>V20</f>
        <v>43903.300999999999</v>
      </c>
      <c r="AD22" s="357"/>
      <c r="AE22" s="237"/>
      <c r="AF22" s="243"/>
      <c r="AG22" s="237"/>
      <c r="AH22" s="237"/>
      <c r="AI22" s="238">
        <f>W26</f>
        <v>42473</v>
      </c>
      <c r="AJ22" s="231">
        <f>SUM(X26:X31,X32:X33)</f>
        <v>12316.196928000001</v>
      </c>
      <c r="AK22" s="229">
        <f>SUM(X26:X28)</f>
        <v>7810.1011199999994</v>
      </c>
      <c r="AL22" s="229">
        <f>SUM(X29:X32)</f>
        <v>3073.6356479999999</v>
      </c>
      <c r="AM22" s="229">
        <f>SUM(X33)</f>
        <v>1432.4601599999999</v>
      </c>
      <c r="AN22" s="238"/>
      <c r="AO22" s="238"/>
      <c r="AP22" s="231">
        <f>SUM(AQ22:AS22)</f>
        <v>12249.068160000001</v>
      </c>
      <c r="AQ22" s="231">
        <f>SUM(X26:X28)</f>
        <v>7810.1011199999994</v>
      </c>
      <c r="AR22" s="231">
        <f>SUM(X29:X31)</f>
        <v>3006.5068799999999</v>
      </c>
      <c r="AS22" s="231">
        <f>SUM(X33)</f>
        <v>1432.4601599999999</v>
      </c>
    </row>
    <row r="23" spans="1:46" x14ac:dyDescent="0.2">
      <c r="A23" s="524" t="s">
        <v>606</v>
      </c>
      <c r="B23" s="274" t="s">
        <v>599</v>
      </c>
      <c r="C23" s="525" t="s">
        <v>199</v>
      </c>
      <c r="D23" s="274">
        <v>4</v>
      </c>
      <c r="E23" s="525" t="s">
        <v>607</v>
      </c>
      <c r="F23" s="526" t="s">
        <v>821</v>
      </c>
      <c r="G23" s="523">
        <v>9452.5</v>
      </c>
      <c r="H23" s="531">
        <v>42474.577777777777</v>
      </c>
      <c r="I23" s="353" t="str">
        <f t="shared" si="1"/>
        <v>MG</v>
      </c>
      <c r="J23" s="410">
        <f>IF(I23="MG",$B$4,$B$3)</f>
        <v>960</v>
      </c>
      <c r="K23" s="241">
        <v>0.94525099999999995</v>
      </c>
      <c r="L23" s="410">
        <f>IF(A23="Kopp",$D$4,$C$4)</f>
        <v>2</v>
      </c>
      <c r="M23" s="241">
        <f>J23*K23*L23</f>
        <v>1814.8819199999998</v>
      </c>
      <c r="N23" s="241">
        <f t="shared" si="0"/>
        <v>0.19200020312086746</v>
      </c>
      <c r="O23" s="415">
        <f>$B$72</f>
        <v>-32.267470588235291</v>
      </c>
      <c r="P23" s="497">
        <f>M23/$M$41</f>
        <v>7.3627834511293344E-2</v>
      </c>
      <c r="T23" s="240" t="str">
        <f>A36</f>
        <v>Friess</v>
      </c>
      <c r="U23" s="241" t="str">
        <f>E36</f>
        <v>S-11</v>
      </c>
      <c r="V23" s="241">
        <f>G36</f>
        <v>15022.6</v>
      </c>
      <c r="W23" s="242">
        <v>42449</v>
      </c>
      <c r="X23" s="241">
        <f>M36</f>
        <v>865.30175999999994</v>
      </c>
      <c r="Y23" s="241">
        <f>(X23/V23)*(1/$B$15)*(1/$B$16)*10^6</f>
        <v>5.8775510204081627</v>
      </c>
      <c r="Z23" s="241" t="s">
        <v>608</v>
      </c>
      <c r="AA23" s="241">
        <f>Y21*V21/AC42</f>
        <v>2.127264126251307</v>
      </c>
      <c r="AB23" s="333" t="s">
        <v>608</v>
      </c>
      <c r="AC23" s="251">
        <f>V21</f>
        <v>14204.8</v>
      </c>
      <c r="AD23" s="357"/>
      <c r="AE23" s="237"/>
      <c r="AF23" s="243"/>
      <c r="AG23" s="237"/>
      <c r="AH23" s="237"/>
      <c r="AI23" s="245">
        <f>W32</f>
        <v>42474</v>
      </c>
      <c r="AJ23" s="340" t="s">
        <v>609</v>
      </c>
      <c r="AK23" s="338"/>
      <c r="AL23" s="338"/>
      <c r="AM23" s="338"/>
      <c r="AN23" s="245"/>
      <c r="AO23" s="245"/>
      <c r="AP23" s="231"/>
    </row>
    <row r="24" spans="1:46" x14ac:dyDescent="0.2">
      <c r="A24" s="522" t="s">
        <v>603</v>
      </c>
      <c r="B24" s="274" t="s">
        <v>596</v>
      </c>
      <c r="C24" s="525" t="s">
        <v>199</v>
      </c>
      <c r="D24" s="274">
        <v>5</v>
      </c>
      <c r="E24" s="525" t="s">
        <v>610</v>
      </c>
      <c r="F24" s="274" t="s">
        <v>821</v>
      </c>
      <c r="G24" s="523">
        <v>8369.2001999999993</v>
      </c>
      <c r="H24" s="531">
        <v>42519.506944444445</v>
      </c>
      <c r="I24" s="353" t="str">
        <f t="shared" si="1"/>
        <v>MG</v>
      </c>
      <c r="J24" s="353">
        <v>0</v>
      </c>
      <c r="K24" s="241">
        <f>G24/10000</f>
        <v>0.83692001999999999</v>
      </c>
      <c r="L24" s="353">
        <v>0</v>
      </c>
      <c r="M24" s="353">
        <v>0</v>
      </c>
      <c r="N24" s="353">
        <f t="shared" si="0"/>
        <v>0</v>
      </c>
      <c r="O24" s="353" t="s">
        <v>210</v>
      </c>
      <c r="P24" s="359">
        <v>0</v>
      </c>
      <c r="Z24" s="241" t="s">
        <v>611</v>
      </c>
      <c r="AA24" s="241">
        <f>Y23*(V23/Z43)+Y25*(V25/Z43)</f>
        <v>0.80339951426105505</v>
      </c>
      <c r="AB24" s="333" t="s">
        <v>611</v>
      </c>
      <c r="AC24" s="251">
        <f>(V23+V25)</f>
        <v>69336.400999999998</v>
      </c>
      <c r="AD24" s="358"/>
      <c r="AE24" s="353"/>
      <c r="AF24" s="359"/>
      <c r="AG24" s="353"/>
      <c r="AH24" s="237"/>
      <c r="AI24" s="238">
        <f>W34</f>
        <v>42519.506944444445</v>
      </c>
      <c r="AJ24" s="231">
        <f>X34</f>
        <v>1803.0664260000001</v>
      </c>
      <c r="AK24" s="229">
        <v>0</v>
      </c>
      <c r="AL24" s="229">
        <f>X34</f>
        <v>1803.0664260000001</v>
      </c>
      <c r="AM24" s="229">
        <v>0</v>
      </c>
      <c r="AN24" s="238"/>
      <c r="AO24" s="238"/>
      <c r="AP24" s="231">
        <f>SUM(AQ24:AS24)</f>
        <v>1803.0664260000001</v>
      </c>
      <c r="AQ24">
        <v>0</v>
      </c>
      <c r="AR24" s="231">
        <f>X34</f>
        <v>1803.0664260000001</v>
      </c>
      <c r="AS24">
        <v>0</v>
      </c>
    </row>
    <row r="25" spans="1:46" ht="15.95" thickBot="1" x14ac:dyDescent="0.25">
      <c r="A25" s="524" t="s">
        <v>606</v>
      </c>
      <c r="B25" s="274" t="s">
        <v>599</v>
      </c>
      <c r="C25" s="525" t="s">
        <v>199</v>
      </c>
      <c r="D25" s="274">
        <v>7</v>
      </c>
      <c r="E25" s="525" t="s">
        <v>612</v>
      </c>
      <c r="F25" s="526" t="s">
        <v>821</v>
      </c>
      <c r="G25" s="523">
        <v>13776.5</v>
      </c>
      <c r="H25" s="531">
        <v>42474.577777777777</v>
      </c>
      <c r="I25" s="353" t="str">
        <f t="shared" si="1"/>
        <v>MG</v>
      </c>
      <c r="J25" s="410">
        <f>IF(I25="MG",$B$4,$B$3)</f>
        <v>960</v>
      </c>
      <c r="K25" s="241">
        <v>1.37765</v>
      </c>
      <c r="L25" s="410">
        <f>IF(A25="Kopp",$D$4,$C$4)</f>
        <v>2</v>
      </c>
      <c r="M25" s="241">
        <f>J25*K25*L25</f>
        <v>2645.0880000000002</v>
      </c>
      <c r="N25" s="241">
        <f t="shared" si="0"/>
        <v>0.192</v>
      </c>
      <c r="O25" s="415">
        <f>$B$72</f>
        <v>-32.267470588235291</v>
      </c>
      <c r="P25" s="497">
        <f>M25/$M$41</f>
        <v>0.10730841460573254</v>
      </c>
      <c r="T25" s="246" t="str">
        <f>A37</f>
        <v>Mathis</v>
      </c>
      <c r="U25" s="247" t="str">
        <f>E37</f>
        <v>S-12</v>
      </c>
      <c r="V25" s="247">
        <f>G37</f>
        <v>54313.800999999999</v>
      </c>
      <c r="W25" s="248">
        <v>42454</v>
      </c>
      <c r="X25" s="247">
        <f>M37</f>
        <v>0</v>
      </c>
      <c r="Y25" s="247">
        <f t="shared" ref="Y25:Y38" si="2">(X25/V25)*(1/$B$15)*(1/$B$16)*10^6</f>
        <v>0</v>
      </c>
      <c r="Z25" s="247"/>
      <c r="AA25" s="247"/>
      <c r="AB25" s="334" t="s">
        <v>613</v>
      </c>
      <c r="AC25" s="363">
        <f>SUM(V20:V21,V23,V25)</f>
        <v>127444.50200000001</v>
      </c>
      <c r="AD25" s="360">
        <f>AC25</f>
        <v>127444.50200000001</v>
      </c>
      <c r="AE25" s="355"/>
      <c r="AF25" s="361"/>
      <c r="AG25" s="355"/>
      <c r="AH25" s="251"/>
      <c r="AI25" s="245">
        <f>W36</f>
        <v>42474.577777777777</v>
      </c>
      <c r="AJ25" s="231">
        <f>SUM(X36:X38)</f>
        <v>2050.9823999999999</v>
      </c>
      <c r="AK25" s="229">
        <f>SUM(X36:X37)</f>
        <v>2050.9823999999999</v>
      </c>
      <c r="AL25" s="229">
        <v>0</v>
      </c>
      <c r="AM25" s="229">
        <f>SUM(X38)</f>
        <v>0</v>
      </c>
      <c r="AP25" s="231">
        <f>SUM(AQ25:AS25)</f>
        <v>3013.9392000000003</v>
      </c>
      <c r="AQ25" s="231">
        <f>SUM(X36)</f>
        <v>0</v>
      </c>
      <c r="AR25">
        <v>0</v>
      </c>
      <c r="AS25" s="231">
        <f>SUM(X35)</f>
        <v>3013.9392000000003</v>
      </c>
    </row>
    <row r="26" spans="1:46" x14ac:dyDescent="0.2">
      <c r="A26" s="524" t="s">
        <v>606</v>
      </c>
      <c r="B26" s="274" t="s">
        <v>599</v>
      </c>
      <c r="C26" s="525" t="s">
        <v>199</v>
      </c>
      <c r="D26" s="274">
        <v>8</v>
      </c>
      <c r="E26" s="525" t="s">
        <v>614</v>
      </c>
      <c r="F26" s="526" t="s">
        <v>821</v>
      </c>
      <c r="G26" s="523">
        <v>17448.599999999999</v>
      </c>
      <c r="H26" s="531">
        <v>42474.577777777777</v>
      </c>
      <c r="I26" s="353" t="str">
        <f t="shared" si="1"/>
        <v>MG</v>
      </c>
      <c r="J26" s="410">
        <f>IF(I26="MG",$B$4,$B$3)</f>
        <v>960</v>
      </c>
      <c r="K26" s="241">
        <v>1.7448600000000001</v>
      </c>
      <c r="L26" s="410">
        <f>IF(A26="Kopp",$D$4,$C$4)</f>
        <v>2</v>
      </c>
      <c r="M26" s="241">
        <f>J26*K26*L26</f>
        <v>3350.1312000000003</v>
      </c>
      <c r="N26" s="241">
        <f t="shared" si="0"/>
        <v>0.19200000000000003</v>
      </c>
      <c r="O26" s="415">
        <f>$B$72</f>
        <v>-32.267470588235291</v>
      </c>
      <c r="P26" s="497">
        <f>M26/$M$41</f>
        <v>0.13591126941455267</v>
      </c>
      <c r="T26" s="232" t="str">
        <f>A23</f>
        <v>Kopp</v>
      </c>
      <c r="U26" s="233" t="str">
        <f>E23</f>
        <v>N-4</v>
      </c>
      <c r="V26" s="233">
        <f>G23</f>
        <v>9452.5</v>
      </c>
      <c r="W26" s="234">
        <v>42473</v>
      </c>
      <c r="X26" s="233">
        <f>M23</f>
        <v>1814.8819199999998</v>
      </c>
      <c r="Y26" s="233">
        <f t="shared" si="2"/>
        <v>19.591857461313005</v>
      </c>
      <c r="Z26" s="233"/>
      <c r="AA26" s="233"/>
      <c r="AB26" s="335"/>
      <c r="AC26" s="235"/>
      <c r="AD26" s="357"/>
      <c r="AE26" s="237"/>
      <c r="AF26" s="243"/>
      <c r="AG26" s="237"/>
      <c r="AH26" s="237"/>
      <c r="AK26" s="229"/>
      <c r="AL26" s="337"/>
      <c r="AM26" s="229"/>
    </row>
    <row r="27" spans="1:46" x14ac:dyDescent="0.2">
      <c r="A27" s="524" t="s">
        <v>615</v>
      </c>
      <c r="B27" s="274" t="s">
        <v>596</v>
      </c>
      <c r="C27" s="274" t="s">
        <v>199</v>
      </c>
      <c r="D27" s="274">
        <v>19</v>
      </c>
      <c r="E27" s="274" t="s">
        <v>616</v>
      </c>
      <c r="F27" s="526" t="s">
        <v>822</v>
      </c>
      <c r="G27" s="523">
        <v>10682.2</v>
      </c>
      <c r="H27" s="531">
        <v>42519.506944444445</v>
      </c>
      <c r="I27" s="353" t="str">
        <f t="shared" si="1"/>
        <v>MG</v>
      </c>
      <c r="J27" s="410">
        <f>IF(I27="MG",$B$4,$B$3)</f>
        <v>960</v>
      </c>
      <c r="K27" s="241">
        <v>1.0682199999999999</v>
      </c>
      <c r="L27" s="410">
        <v>2</v>
      </c>
      <c r="M27" s="241">
        <f>J27*K27*L27</f>
        <v>2050.9823999999999</v>
      </c>
      <c r="N27" s="241">
        <f t="shared" si="0"/>
        <v>0.19199999999999998</v>
      </c>
      <c r="O27" s="415">
        <f>$B$72</f>
        <v>-32.267470588235291</v>
      </c>
      <c r="P27" s="497">
        <f>M27/$M$41</f>
        <v>8.3206180561198856E-2</v>
      </c>
      <c r="T27" s="240" t="str">
        <f>A25</f>
        <v>Kopp</v>
      </c>
      <c r="U27" s="241" t="str">
        <f>E25</f>
        <v>N-7</v>
      </c>
      <c r="V27" s="241">
        <f>G25</f>
        <v>13776.5</v>
      </c>
      <c r="W27" s="242">
        <v>42473</v>
      </c>
      <c r="X27" s="241">
        <f>M25</f>
        <v>2645.0880000000002</v>
      </c>
      <c r="Y27" s="241">
        <f t="shared" si="2"/>
        <v>19.591836734693878</v>
      </c>
      <c r="Z27" s="241"/>
      <c r="AA27" s="241"/>
      <c r="AB27" s="333"/>
      <c r="AC27" s="237"/>
      <c r="AD27" s="357"/>
      <c r="AE27" s="237"/>
      <c r="AF27" s="243"/>
      <c r="AG27" s="237"/>
      <c r="AH27" s="237"/>
      <c r="AI27" s="50" t="s">
        <v>617</v>
      </c>
      <c r="AJ27" s="259">
        <f>SUM(AJ20,AJ22,AJ24:AJ25)</f>
        <v>21635.460474000003</v>
      </c>
      <c r="AK27" s="259">
        <f>SUM(AK20,AK22,AK24:AK25)</f>
        <v>12389.9136</v>
      </c>
      <c r="AL27" s="259">
        <f t="shared" ref="AL27:AM27" si="3">SUM(AL20,AL22,AL24:AL25)</f>
        <v>6947.7849539999997</v>
      </c>
      <c r="AM27" s="259">
        <f t="shared" si="3"/>
        <v>2297.7619199999999</v>
      </c>
      <c r="AP27" s="231">
        <f>SUM(AQ27:AS27)</f>
        <v>21278.402106000001</v>
      </c>
      <c r="AQ27" s="259">
        <f>SUM(AQ20,AQ22,AQ24:AQ25)</f>
        <v>10338.931199999999</v>
      </c>
      <c r="AR27" s="259">
        <f t="shared" ref="AR27" si="4">SUM(AR20,AR22,AR24:AR25)</f>
        <v>5627.7697859999998</v>
      </c>
      <c r="AS27" s="259">
        <f>SUM(AS20,AS22,AS24:AS25)</f>
        <v>5311.7011199999997</v>
      </c>
    </row>
    <row r="28" spans="1:46" x14ac:dyDescent="0.2">
      <c r="A28" s="524" t="s">
        <v>606</v>
      </c>
      <c r="B28" s="274" t="s">
        <v>599</v>
      </c>
      <c r="C28" s="274" t="s">
        <v>200</v>
      </c>
      <c r="D28" s="274">
        <v>4</v>
      </c>
      <c r="E28" s="274" t="s">
        <v>618</v>
      </c>
      <c r="F28" s="526" t="s">
        <v>821</v>
      </c>
      <c r="G28" s="523">
        <v>2965.98</v>
      </c>
      <c r="H28" s="531">
        <v>42474.577777777777</v>
      </c>
      <c r="I28" s="353" t="str">
        <f t="shared" si="1"/>
        <v>MG</v>
      </c>
      <c r="J28" s="410">
        <f>IF(I28="MG",$B$4,$B$3)</f>
        <v>960</v>
      </c>
      <c r="K28" s="241">
        <v>0.29659799999999997</v>
      </c>
      <c r="L28" s="410">
        <f>IF(A28="Kopp",$D$4,$C$4)</f>
        <v>2</v>
      </c>
      <c r="M28" s="241">
        <f>J28*K28*L28</f>
        <v>569.4681599999999</v>
      </c>
      <c r="N28" s="241">
        <f t="shared" si="0"/>
        <v>0.19199999999999998</v>
      </c>
      <c r="O28" s="415">
        <f>$B$72</f>
        <v>-32.267470588235291</v>
      </c>
      <c r="P28" s="497">
        <f>M28/$M$41</f>
        <v>2.3102719235822633E-2</v>
      </c>
      <c r="T28" s="240" t="str">
        <f>A26</f>
        <v>Kopp</v>
      </c>
      <c r="U28" s="241" t="str">
        <f>E26</f>
        <v>N-8</v>
      </c>
      <c r="V28" s="241">
        <f>G26</f>
        <v>17448.599999999999</v>
      </c>
      <c r="W28" s="242">
        <v>42473</v>
      </c>
      <c r="X28" s="241">
        <f>M26</f>
        <v>3350.1312000000003</v>
      </c>
      <c r="Y28" s="241">
        <f t="shared" si="2"/>
        <v>19.591836734693882</v>
      </c>
      <c r="Z28" s="241"/>
      <c r="AA28" s="241"/>
      <c r="AB28" s="333"/>
      <c r="AC28" s="237"/>
      <c r="AD28" s="357"/>
      <c r="AE28" s="237"/>
      <c r="AF28" s="243"/>
      <c r="AG28" s="237"/>
      <c r="AH28" s="237"/>
      <c r="AI28" s="253"/>
      <c r="AK28" s="227"/>
      <c r="AL28" s="239"/>
      <c r="AM28" s="227"/>
      <c r="AN28" s="238"/>
      <c r="AO28" s="238"/>
    </row>
    <row r="29" spans="1:46" x14ac:dyDescent="0.2">
      <c r="A29" s="522" t="s">
        <v>603</v>
      </c>
      <c r="B29" s="274" t="s">
        <v>596</v>
      </c>
      <c r="C29" s="274" t="s">
        <v>200</v>
      </c>
      <c r="D29" s="274">
        <v>5</v>
      </c>
      <c r="E29" s="274" t="s">
        <v>619</v>
      </c>
      <c r="F29" s="274" t="s">
        <v>821</v>
      </c>
      <c r="G29" s="523">
        <v>3360.51</v>
      </c>
      <c r="H29" s="531">
        <v>42519.506944444445</v>
      </c>
      <c r="I29" s="353" t="str">
        <f t="shared" si="1"/>
        <v>MG</v>
      </c>
      <c r="J29" s="353">
        <v>0</v>
      </c>
      <c r="K29" s="241">
        <f>G29/10000</f>
        <v>0.33605100000000004</v>
      </c>
      <c r="L29" s="353">
        <v>0</v>
      </c>
      <c r="M29" s="353">
        <v>0</v>
      </c>
      <c r="N29" s="353">
        <f t="shared" si="0"/>
        <v>0</v>
      </c>
      <c r="O29" s="353" t="s">
        <v>210</v>
      </c>
      <c r="P29" s="359">
        <v>0</v>
      </c>
      <c r="T29" s="240" t="str">
        <f>A28</f>
        <v>Kopp</v>
      </c>
      <c r="U29" s="241" t="str">
        <f>E28</f>
        <v>T-4</v>
      </c>
      <c r="V29" s="241">
        <f>G28</f>
        <v>2965.98</v>
      </c>
      <c r="W29" s="242">
        <v>42473</v>
      </c>
      <c r="X29" s="241">
        <f>M28</f>
        <v>569.4681599999999</v>
      </c>
      <c r="Y29" s="241">
        <f t="shared" si="2"/>
        <v>19.591836734693874</v>
      </c>
      <c r="Z29" s="241"/>
      <c r="AA29" s="241"/>
      <c r="AB29" s="333"/>
      <c r="AC29" s="237"/>
      <c r="AD29" s="357"/>
      <c r="AE29" s="237"/>
      <c r="AF29" s="243"/>
      <c r="AG29" s="237"/>
      <c r="AH29" s="237"/>
      <c r="AI29" t="s">
        <v>761</v>
      </c>
      <c r="AJ29" s="49">
        <v>9306</v>
      </c>
      <c r="AK29" s="227"/>
      <c r="AL29" s="227"/>
      <c r="AM29" s="227"/>
      <c r="AN29" s="238"/>
      <c r="AO29" s="238"/>
      <c r="AP29" t="s">
        <v>761</v>
      </c>
      <c r="AQ29" s="367">
        <v>5267.8990000000003</v>
      </c>
      <c r="AR29" s="367">
        <v>1805.7273299999999</v>
      </c>
      <c r="AS29" s="367">
        <v>2691.16986</v>
      </c>
      <c r="AT29" s="227">
        <f>SUM(AQ29:AS29)</f>
        <v>9764.7961900000009</v>
      </c>
    </row>
    <row r="30" spans="1:46" x14ac:dyDescent="0.2">
      <c r="A30" s="524" t="s">
        <v>606</v>
      </c>
      <c r="B30" s="274" t="s">
        <v>599</v>
      </c>
      <c r="C30" s="274" t="s">
        <v>200</v>
      </c>
      <c r="D30" s="274">
        <v>7</v>
      </c>
      <c r="E30" s="274" t="s">
        <v>620</v>
      </c>
      <c r="F30" s="526" t="s">
        <v>821</v>
      </c>
      <c r="G30" s="523">
        <v>5336.0801000000001</v>
      </c>
      <c r="H30" s="531">
        <v>42474.577777777777</v>
      </c>
      <c r="I30" s="353" t="str">
        <f t="shared" si="1"/>
        <v>MG</v>
      </c>
      <c r="J30" s="410">
        <f t="shared" ref="J30:J40" si="5">IF(I30="MG",$B$4,$B$3)</f>
        <v>960</v>
      </c>
      <c r="K30" s="241">
        <v>0.53360799999999997</v>
      </c>
      <c r="L30" s="410">
        <f>IF(A30="Kopp",$D$4,$C$4)</f>
        <v>2</v>
      </c>
      <c r="M30" s="241">
        <f t="shared" ref="M30:M40" si="6">J30*K30*L30</f>
        <v>1024.52736</v>
      </c>
      <c r="N30" s="241">
        <f t="shared" si="0"/>
        <v>0.19199999640185311</v>
      </c>
      <c r="O30" s="415">
        <f t="shared" ref="O30:O40" si="7">$B$72</f>
        <v>-32.267470588235291</v>
      </c>
      <c r="P30" s="497">
        <f t="shared" ref="P30:P40" si="8">M30/$M$41</f>
        <v>4.1563988314111518E-2</v>
      </c>
      <c r="T30" s="240" t="str">
        <f>A30</f>
        <v>Kopp</v>
      </c>
      <c r="U30" s="241" t="str">
        <f>E30</f>
        <v>T-7</v>
      </c>
      <c r="V30" s="241">
        <f>G30</f>
        <v>5336.0801000000001</v>
      </c>
      <c r="W30" s="242">
        <v>42473</v>
      </c>
      <c r="X30" s="241">
        <f>M30</f>
        <v>1024.52736</v>
      </c>
      <c r="Y30" s="241">
        <f t="shared" si="2"/>
        <v>19.591836367536029</v>
      </c>
      <c r="Z30" s="241" t="s">
        <v>605</v>
      </c>
      <c r="AA30" s="241">
        <f>Y26*(V26/AC41)+Y27*(V27/AC41)+Y28*(V28/AC41) +AA22</f>
        <v>10.371365783791511</v>
      </c>
      <c r="AB30" s="333" t="s">
        <v>605</v>
      </c>
      <c r="AC30" s="251">
        <f>SUM(V26:V28)</f>
        <v>40677.599999999999</v>
      </c>
      <c r="AD30" s="357"/>
      <c r="AE30" s="333" t="s">
        <v>605</v>
      </c>
      <c r="AF30" s="354">
        <f>AC22+AC30</f>
        <v>84580.900999999998</v>
      </c>
      <c r="AG30" s="231"/>
      <c r="AH30" s="237"/>
      <c r="AI30" s="254" t="s">
        <v>764</v>
      </c>
      <c r="AK30" s="227"/>
      <c r="AL30" s="227"/>
      <c r="AM30" s="227"/>
      <c r="AN30" s="227"/>
      <c r="AO30" s="227"/>
      <c r="AP30" t="s">
        <v>762</v>
      </c>
      <c r="AQ30" s="227"/>
      <c r="AR30" s="227"/>
      <c r="AS30" s="227"/>
      <c r="AT30" s="227"/>
    </row>
    <row r="31" spans="1:46" x14ac:dyDescent="0.2">
      <c r="A31" s="524" t="s">
        <v>606</v>
      </c>
      <c r="B31" s="274" t="s">
        <v>599</v>
      </c>
      <c r="C31" s="274" t="s">
        <v>200</v>
      </c>
      <c r="D31" s="274">
        <v>8</v>
      </c>
      <c r="E31" s="274" t="s">
        <v>621</v>
      </c>
      <c r="F31" s="526" t="s">
        <v>821</v>
      </c>
      <c r="G31" s="523">
        <v>7356.8301000000001</v>
      </c>
      <c r="H31" s="531">
        <v>42474.577777777777</v>
      </c>
      <c r="I31" s="353" t="str">
        <f t="shared" si="1"/>
        <v>MG</v>
      </c>
      <c r="J31" s="410">
        <f t="shared" si="5"/>
        <v>960</v>
      </c>
      <c r="K31" s="241">
        <v>0.73568299999999998</v>
      </c>
      <c r="L31" s="410">
        <f>IF(A31="Kopp",$D$4,$C$4)</f>
        <v>2</v>
      </c>
      <c r="M31" s="241">
        <f t="shared" si="6"/>
        <v>1412.51136</v>
      </c>
      <c r="N31" s="241">
        <f t="shared" si="0"/>
        <v>0.19199999739018031</v>
      </c>
      <c r="O31" s="415">
        <f t="shared" si="7"/>
        <v>-32.267470588235291</v>
      </c>
      <c r="P31" s="497">
        <f t="shared" si="8"/>
        <v>5.7304087672768213E-2</v>
      </c>
      <c r="T31" s="240" t="str">
        <f>A31</f>
        <v>Kopp</v>
      </c>
      <c r="U31" s="241" t="str">
        <f>E31</f>
        <v>T-8</v>
      </c>
      <c r="V31" s="241">
        <f>G31</f>
        <v>7356.8301000000001</v>
      </c>
      <c r="W31" s="242">
        <v>42473</v>
      </c>
      <c r="X31" s="241">
        <f>M31</f>
        <v>1412.51136</v>
      </c>
      <c r="Y31" s="241">
        <f t="shared" si="2"/>
        <v>19.591836468385743</v>
      </c>
      <c r="Z31" s="241" t="s">
        <v>608</v>
      </c>
      <c r="AA31" s="241">
        <f>Y29*(V29/AC42)+Y30*(V30/AC42)+Y31*V31/AC42+AA23</f>
        <v>9.9440103326780829</v>
      </c>
      <c r="AB31" s="333" t="s">
        <v>608</v>
      </c>
      <c r="AC31" s="251">
        <f>SUM(V29:V31)</f>
        <v>15658.890200000002</v>
      </c>
      <c r="AD31" s="357"/>
      <c r="AE31" s="333" t="s">
        <v>608</v>
      </c>
      <c r="AF31" s="354">
        <f>AC23+AC31</f>
        <v>29863.690200000001</v>
      </c>
      <c r="AG31" s="231"/>
      <c r="AH31" s="237"/>
      <c r="AK31" s="352"/>
      <c r="AL31" s="352"/>
      <c r="AM31" s="352"/>
      <c r="AN31" s="238"/>
      <c r="AO31" s="238"/>
      <c r="AP31" t="s">
        <v>763</v>
      </c>
      <c r="AQ31" s="352">
        <f>AQ29/$AT$29</f>
        <v>0.53947864323013583</v>
      </c>
      <c r="AR31" s="352">
        <f>AR29/$AT$29</f>
        <v>0.18492217296344818</v>
      </c>
      <c r="AS31" s="352">
        <f>AS29/$AT$29</f>
        <v>0.2755991838064159</v>
      </c>
      <c r="AT31" t="s">
        <v>767</v>
      </c>
    </row>
    <row r="32" spans="1:46" x14ac:dyDescent="0.2">
      <c r="A32" s="517" t="s">
        <v>598</v>
      </c>
      <c r="B32" s="518" t="s">
        <v>599</v>
      </c>
      <c r="C32" s="518" t="s">
        <v>200</v>
      </c>
      <c r="D32" s="518">
        <v>9</v>
      </c>
      <c r="E32" s="518" t="s">
        <v>622</v>
      </c>
      <c r="F32" s="520" t="s">
        <v>821</v>
      </c>
      <c r="G32" s="521">
        <v>14204.8</v>
      </c>
      <c r="H32" s="531">
        <v>42454.00277777778</v>
      </c>
      <c r="I32" s="375" t="str">
        <f t="shared" si="1"/>
        <v>MG</v>
      </c>
      <c r="J32" s="400">
        <f t="shared" si="5"/>
        <v>960</v>
      </c>
      <c r="K32" s="401">
        <v>1.42048</v>
      </c>
      <c r="L32" s="402">
        <f>IF(A32="Speich",$C$7,IF(A32="Friess",$C$10,IF(A32="Mathis",$C$11)))</f>
        <v>0.6</v>
      </c>
      <c r="M32" s="401">
        <f t="shared" si="6"/>
        <v>818.19647999999995</v>
      </c>
      <c r="N32" s="401">
        <f t="shared" si="0"/>
        <v>5.7599999999999998E-2</v>
      </c>
      <c r="O32" s="403">
        <f t="shared" si="7"/>
        <v>-32.267470588235291</v>
      </c>
      <c r="P32" s="495">
        <f t="shared" si="8"/>
        <v>3.3193363360610663E-2</v>
      </c>
      <c r="T32" s="240" t="str">
        <f>A34</f>
        <v>Burger</v>
      </c>
      <c r="U32" s="244" t="str">
        <f>E34</f>
        <v>T-17</v>
      </c>
      <c r="V32" s="241">
        <f>G34</f>
        <v>1165.4301</v>
      </c>
      <c r="W32" s="242">
        <v>42474</v>
      </c>
      <c r="X32" s="241">
        <f>M34</f>
        <v>67.128767999999994</v>
      </c>
      <c r="Y32" s="241">
        <f t="shared" si="2"/>
        <v>5.8775505160835335</v>
      </c>
      <c r="Z32" s="241" t="s">
        <v>611</v>
      </c>
      <c r="AA32" s="241">
        <f>Y33*V33/Z43+AA24</f>
        <v>2.1333838618513257</v>
      </c>
      <c r="AB32" s="333" t="s">
        <v>611</v>
      </c>
      <c r="AC32" s="251">
        <f>V33</f>
        <v>24869.1</v>
      </c>
      <c r="AD32" s="357"/>
      <c r="AE32" s="333" t="s">
        <v>611</v>
      </c>
      <c r="AF32" s="354">
        <f>AC24+AC32</f>
        <v>94205.500999999989</v>
      </c>
      <c r="AG32" s="231"/>
      <c r="AH32" s="237"/>
      <c r="AI32" s="254"/>
      <c r="AK32" s="227"/>
      <c r="AL32" s="239"/>
      <c r="AM32" s="227"/>
      <c r="AN32" s="238"/>
      <c r="AO32" s="238"/>
      <c r="AQ32" s="352">
        <f>AQ29/AQ27</f>
        <v>0.50952065528785029</v>
      </c>
      <c r="AR32" s="352">
        <f t="shared" ref="AR32:AS32" si="9">AR29/AR27</f>
        <v>0.32086019838481006</v>
      </c>
      <c r="AS32" s="352">
        <f t="shared" si="9"/>
        <v>0.50664933873387819</v>
      </c>
      <c r="AT32" t="s">
        <v>768</v>
      </c>
    </row>
    <row r="33" spans="1:43" ht="15.95" thickBot="1" x14ac:dyDescent="0.25">
      <c r="A33" s="522" t="s">
        <v>623</v>
      </c>
      <c r="B33" s="274" t="s">
        <v>596</v>
      </c>
      <c r="C33" s="274" t="s">
        <v>200</v>
      </c>
      <c r="D33" s="274">
        <v>10</v>
      </c>
      <c r="E33" s="274" t="s">
        <v>624</v>
      </c>
      <c r="F33" s="526" t="s">
        <v>821</v>
      </c>
      <c r="G33" s="523">
        <v>9383.6396000000004</v>
      </c>
      <c r="H33" s="531">
        <v>42519.506944444445</v>
      </c>
      <c r="I33" s="353" t="str">
        <f t="shared" si="1"/>
        <v>DG</v>
      </c>
      <c r="J33" s="410">
        <f t="shared" si="5"/>
        <v>915</v>
      </c>
      <c r="K33" s="241">
        <v>0.93836399999999998</v>
      </c>
      <c r="L33" s="410">
        <v>2.1</v>
      </c>
      <c r="M33" s="241">
        <f t="shared" si="6"/>
        <v>1803.0664260000001</v>
      </c>
      <c r="N33" s="241">
        <f t="shared" si="0"/>
        <v>0.19215000819085165</v>
      </c>
      <c r="O33" s="415">
        <f t="shared" si="7"/>
        <v>-32.267470588235291</v>
      </c>
      <c r="P33" s="497">
        <f t="shared" si="8"/>
        <v>7.314849245200325E-2</v>
      </c>
      <c r="T33" s="240" t="str">
        <f>A38</f>
        <v>Burger</v>
      </c>
      <c r="U33" s="241" t="str">
        <f>E38</f>
        <v>S-13</v>
      </c>
      <c r="V33" s="241">
        <f>G38</f>
        <v>24869.1</v>
      </c>
      <c r="W33" s="242">
        <v>42474</v>
      </c>
      <c r="X33" s="241">
        <f>M38</f>
        <v>1432.4601599999999</v>
      </c>
      <c r="Y33" s="241">
        <f t="shared" si="2"/>
        <v>5.8775510204081636</v>
      </c>
      <c r="Z33" s="241"/>
      <c r="AA33" s="241"/>
      <c r="AB33" s="333" t="s">
        <v>617</v>
      </c>
      <c r="AC33" s="251">
        <f>SUM(V26:V31,V33)</f>
        <v>81205.590200000006</v>
      </c>
      <c r="AD33" s="365">
        <f>AC33+AD25</f>
        <v>208650.09220000001</v>
      </c>
      <c r="AE33" s="251"/>
      <c r="AF33" s="354"/>
      <c r="AG33" s="251"/>
      <c r="AH33" s="251"/>
      <c r="AI33" s="254"/>
      <c r="AK33" s="308"/>
      <c r="AL33" s="239"/>
      <c r="AM33" s="227"/>
      <c r="AN33" s="238"/>
      <c r="AO33" s="238"/>
    </row>
    <row r="34" spans="1:43" ht="15.95" thickBot="1" x14ac:dyDescent="0.25">
      <c r="A34" s="524" t="s">
        <v>626</v>
      </c>
      <c r="B34" s="274" t="s">
        <v>599</v>
      </c>
      <c r="C34" s="274" t="s">
        <v>200</v>
      </c>
      <c r="D34" s="274">
        <v>17</v>
      </c>
      <c r="E34" s="274" t="s">
        <v>627</v>
      </c>
      <c r="F34" s="526" t="s">
        <v>822</v>
      </c>
      <c r="G34" s="523">
        <v>1165.4301</v>
      </c>
      <c r="H34" s="531">
        <v>42474.577777777777</v>
      </c>
      <c r="I34" s="353" t="str">
        <f t="shared" si="1"/>
        <v>MG</v>
      </c>
      <c r="J34" s="410">
        <f t="shared" si="5"/>
        <v>960</v>
      </c>
      <c r="K34" s="241">
        <v>0.11654299999999999</v>
      </c>
      <c r="L34" s="410">
        <v>0.6</v>
      </c>
      <c r="M34" s="241">
        <f t="shared" si="6"/>
        <v>67.128767999999994</v>
      </c>
      <c r="N34" s="241">
        <f t="shared" si="0"/>
        <v>5.7599995057618633E-2</v>
      </c>
      <c r="O34" s="415">
        <f t="shared" si="7"/>
        <v>-32.267470588235291</v>
      </c>
      <c r="P34" s="497">
        <f t="shared" si="8"/>
        <v>2.7233429165744315E-3</v>
      </c>
      <c r="T34" s="255" t="str">
        <f>A33</f>
        <v>Schmitt</v>
      </c>
      <c r="U34" s="256" t="str">
        <f>E33</f>
        <v>T-10</v>
      </c>
      <c r="V34" s="256">
        <f>G33</f>
        <v>9383.6396000000004</v>
      </c>
      <c r="W34" s="257">
        <f>H33</f>
        <v>42519.506944444445</v>
      </c>
      <c r="X34" s="256">
        <f>M33</f>
        <v>1803.0664260000001</v>
      </c>
      <c r="Y34" s="256">
        <f t="shared" si="2"/>
        <v>19.607143692944046</v>
      </c>
      <c r="Z34" s="256" t="s">
        <v>608</v>
      </c>
      <c r="AA34" s="256">
        <f>Y34*V34/AC42+AA31</f>
        <v>14.631880079169729</v>
      </c>
      <c r="AB34" s="336" t="s">
        <v>608</v>
      </c>
      <c r="AC34" s="366">
        <f>V34</f>
        <v>9383.6396000000004</v>
      </c>
      <c r="AD34" s="365">
        <f>AC34+AD33</f>
        <v>218033.73180000001</v>
      </c>
      <c r="AE34" s="237"/>
      <c r="AF34" s="243"/>
      <c r="AG34" s="251"/>
      <c r="AH34" s="237"/>
      <c r="AI34" s="254"/>
      <c r="AK34" s="227"/>
      <c r="AL34" s="239"/>
      <c r="AM34" s="227"/>
      <c r="AN34" s="238"/>
      <c r="AO34" s="238"/>
      <c r="AP34" t="s">
        <v>754</v>
      </c>
      <c r="AQ34" s="308">
        <f>(AQ29+AR29)/AP27</f>
        <v>0.33243221435341735</v>
      </c>
    </row>
    <row r="35" spans="1:43" x14ac:dyDescent="0.2">
      <c r="A35" s="517" t="s">
        <v>598</v>
      </c>
      <c r="B35" s="518" t="s">
        <v>599</v>
      </c>
      <c r="C35" s="518" t="s">
        <v>200</v>
      </c>
      <c r="D35" s="518">
        <v>43</v>
      </c>
      <c r="E35" s="518" t="s">
        <v>628</v>
      </c>
      <c r="F35" s="520" t="s">
        <v>822</v>
      </c>
      <c r="G35" s="521">
        <v>21751.5</v>
      </c>
      <c r="H35" s="531">
        <v>42454.00277777778</v>
      </c>
      <c r="I35" s="375" t="str">
        <f t="shared" si="1"/>
        <v>MG</v>
      </c>
      <c r="J35" s="400">
        <f t="shared" si="5"/>
        <v>960</v>
      </c>
      <c r="K35" s="401">
        <v>2.1751499999999999</v>
      </c>
      <c r="L35" s="402">
        <f>IF(A35="Speich",$C$7,IF(A35="Friess",$C$10,IF(A35="Mathis",$C$11)))</f>
        <v>0.6</v>
      </c>
      <c r="M35" s="401">
        <f t="shared" si="6"/>
        <v>1252.8863999999999</v>
      </c>
      <c r="N35" s="401">
        <f t="shared" si="0"/>
        <v>5.7599999999999991E-2</v>
      </c>
      <c r="O35" s="403">
        <f t="shared" si="7"/>
        <v>-32.267470588235291</v>
      </c>
      <c r="P35" s="495">
        <f t="shared" si="8"/>
        <v>5.0828272354297342E-2</v>
      </c>
      <c r="T35" s="240" t="str">
        <f>A39</f>
        <v>Friess</v>
      </c>
      <c r="U35" s="369" t="str">
        <f>E39</f>
        <v>S-15</v>
      </c>
      <c r="V35" s="369">
        <f>G39</f>
        <v>15697.6</v>
      </c>
      <c r="W35" s="370">
        <v>42449</v>
      </c>
      <c r="X35" s="369">
        <f>M39</f>
        <v>3013.9392000000003</v>
      </c>
      <c r="Y35" s="369">
        <f t="shared" si="2"/>
        <v>19.591836734693878</v>
      </c>
      <c r="Z35" s="241" t="s">
        <v>611</v>
      </c>
      <c r="AA35" s="241">
        <f>AA32+Y35*(V35/Z43)</f>
        <v>4.9317108747217873</v>
      </c>
      <c r="AB35" s="333"/>
      <c r="AC35" s="251"/>
      <c r="AD35" s="365"/>
      <c r="AE35" s="333" t="s">
        <v>605</v>
      </c>
      <c r="AF35" s="354">
        <f>AF30+AC36</f>
        <v>101721.70199999999</v>
      </c>
      <c r="AG35" s="237"/>
      <c r="AH35" s="237"/>
      <c r="AK35" s="227"/>
      <c r="AL35" s="239"/>
      <c r="AM35" s="227"/>
      <c r="AN35" s="238"/>
      <c r="AO35" s="238"/>
      <c r="AP35" t="s">
        <v>765</v>
      </c>
      <c r="AQ35" s="308">
        <f>(AQ29+AR29+AS29)/AP27</f>
        <v>0.45890646023869253</v>
      </c>
    </row>
    <row r="36" spans="1:43" x14ac:dyDescent="0.2">
      <c r="A36" s="517" t="s">
        <v>598</v>
      </c>
      <c r="B36" s="518" t="s">
        <v>599</v>
      </c>
      <c r="C36" s="518" t="s">
        <v>201</v>
      </c>
      <c r="D36" s="518">
        <v>11</v>
      </c>
      <c r="E36" s="518" t="s">
        <v>629</v>
      </c>
      <c r="F36" s="520" t="s">
        <v>821</v>
      </c>
      <c r="G36" s="521">
        <v>15022.6</v>
      </c>
      <c r="H36" s="531">
        <v>42454.00277777778</v>
      </c>
      <c r="I36" s="375" t="str">
        <f t="shared" si="1"/>
        <v>MG</v>
      </c>
      <c r="J36" s="400">
        <f t="shared" si="5"/>
        <v>960</v>
      </c>
      <c r="K36" s="401">
        <v>1.5022599999999999</v>
      </c>
      <c r="L36" s="402">
        <f>IF(A36="Speich",$C$7,IF(A36="Friess",$C$10,IF(A36="Mathis",$C$11)))</f>
        <v>0.6</v>
      </c>
      <c r="M36" s="401">
        <f t="shared" si="6"/>
        <v>865.30175999999994</v>
      </c>
      <c r="N36" s="401">
        <f t="shared" si="0"/>
        <v>5.7599999999999991E-2</v>
      </c>
      <c r="O36" s="403">
        <f t="shared" si="7"/>
        <v>-32.267470588235291</v>
      </c>
      <c r="P36" s="495">
        <f t="shared" si="8"/>
        <v>3.5104374607253165E-2</v>
      </c>
      <c r="T36" s="240" t="str">
        <f>A20</f>
        <v>Speich</v>
      </c>
      <c r="U36" s="241" t="str">
        <f>E20</f>
        <v>N-1</v>
      </c>
      <c r="V36" s="241">
        <f>G20</f>
        <v>17140.800999999999</v>
      </c>
      <c r="W36" s="242">
        <f>H20</f>
        <v>42474.577777777777</v>
      </c>
      <c r="X36" s="241">
        <f>M20</f>
        <v>0</v>
      </c>
      <c r="Y36" s="241">
        <f t="shared" si="2"/>
        <v>0</v>
      </c>
      <c r="Z36" s="241"/>
      <c r="AA36" s="241"/>
      <c r="AB36" s="333" t="s">
        <v>605</v>
      </c>
      <c r="AC36" s="251">
        <f>V36</f>
        <v>17140.800999999999</v>
      </c>
      <c r="AD36" s="357"/>
      <c r="AE36" s="333" t="s">
        <v>608</v>
      </c>
      <c r="AF36" s="354">
        <f>AF31+AC34</f>
        <v>39247.3298</v>
      </c>
      <c r="AG36" s="237"/>
      <c r="AH36" s="237"/>
      <c r="AI36" s="254"/>
      <c r="AK36" s="227"/>
      <c r="AL36" s="239"/>
      <c r="AM36" s="227"/>
      <c r="AN36" s="238"/>
      <c r="AO36" s="238"/>
    </row>
    <row r="37" spans="1:43" x14ac:dyDescent="0.2">
      <c r="A37" s="517" t="s">
        <v>630</v>
      </c>
      <c r="B37" s="518" t="s">
        <v>599</v>
      </c>
      <c r="C37" s="518" t="s">
        <v>201</v>
      </c>
      <c r="D37" s="518">
        <v>12</v>
      </c>
      <c r="E37" s="518" t="s">
        <v>704</v>
      </c>
      <c r="F37" s="520" t="s">
        <v>821</v>
      </c>
      <c r="G37" s="521">
        <v>54313.800999999999</v>
      </c>
      <c r="H37" s="531">
        <v>42454.00277777778</v>
      </c>
      <c r="I37" s="375" t="str">
        <f t="shared" si="1"/>
        <v>MG*</v>
      </c>
      <c r="J37" s="400">
        <f t="shared" si="5"/>
        <v>915</v>
      </c>
      <c r="K37" s="401">
        <v>5.4313799999999999</v>
      </c>
      <c r="L37" s="402" t="b">
        <f>IF(A37="Speich",$C$7,IF(A37="Friess",$C$10,IF(A37="Mathis*",$C$11)))</f>
        <v>0</v>
      </c>
      <c r="M37" s="401">
        <f t="shared" si="6"/>
        <v>0</v>
      </c>
      <c r="N37" s="401">
        <f t="shared" si="0"/>
        <v>0</v>
      </c>
      <c r="O37" s="403">
        <f t="shared" si="7"/>
        <v>-32.267470588235291</v>
      </c>
      <c r="P37" s="495">
        <f t="shared" si="8"/>
        <v>0</v>
      </c>
      <c r="T37" s="240" t="str">
        <f>A27</f>
        <v>Mahler</v>
      </c>
      <c r="U37" s="244" t="str">
        <f>E27</f>
        <v>N-19</v>
      </c>
      <c r="V37" s="241">
        <f>G27</f>
        <v>10682.2</v>
      </c>
      <c r="W37" s="242">
        <f>H27</f>
        <v>42519.506944444445</v>
      </c>
      <c r="X37" s="241">
        <f>M27</f>
        <v>2050.9823999999999</v>
      </c>
      <c r="Y37" s="241">
        <f t="shared" si="2"/>
        <v>19.591836734693874</v>
      </c>
      <c r="Z37" s="241" t="s">
        <v>605</v>
      </c>
      <c r="AA37" s="241">
        <f>Y36*V36/AC41+AA30</f>
        <v>10.371365783791511</v>
      </c>
      <c r="AB37" s="371" t="s">
        <v>611</v>
      </c>
      <c r="AC37" s="372">
        <f>V38</f>
        <v>6040.2201999999997</v>
      </c>
      <c r="AD37" s="357"/>
      <c r="AE37" s="333" t="s">
        <v>611</v>
      </c>
      <c r="AF37" s="354">
        <f>AF32+AC37</f>
        <v>100245.72119999999</v>
      </c>
      <c r="AG37" s="251"/>
      <c r="AH37" s="237"/>
      <c r="AI37" s="254"/>
      <c r="AK37" s="227"/>
      <c r="AL37" s="239"/>
      <c r="AM37" s="227"/>
      <c r="AN37" s="238"/>
      <c r="AO37" s="238"/>
    </row>
    <row r="38" spans="1:43" ht="15.95" thickBot="1" x14ac:dyDescent="0.25">
      <c r="A38" s="524" t="s">
        <v>626</v>
      </c>
      <c r="B38" s="274" t="s">
        <v>599</v>
      </c>
      <c r="C38" s="274" t="s">
        <v>201</v>
      </c>
      <c r="D38" s="274">
        <v>13</v>
      </c>
      <c r="E38" s="274" t="s">
        <v>632</v>
      </c>
      <c r="F38" s="526" t="s">
        <v>821</v>
      </c>
      <c r="G38" s="523">
        <v>24869.1</v>
      </c>
      <c r="H38" s="531">
        <v>42474.577777777777</v>
      </c>
      <c r="I38" s="353" t="str">
        <f t="shared" si="1"/>
        <v>MG</v>
      </c>
      <c r="J38" s="410">
        <f t="shared" si="5"/>
        <v>960</v>
      </c>
      <c r="K38" s="241">
        <v>2.48691</v>
      </c>
      <c r="L38" s="410">
        <v>0.6</v>
      </c>
      <c r="M38" s="241">
        <f>J38*K38*L38</f>
        <v>1432.4601599999999</v>
      </c>
      <c r="N38" s="241">
        <f t="shared" si="0"/>
        <v>5.7599999999999998E-2</v>
      </c>
      <c r="O38" s="415">
        <f t="shared" si="7"/>
        <v>-32.267470588235291</v>
      </c>
      <c r="P38" s="497">
        <f t="shared" si="8"/>
        <v>5.8113389329759138E-2</v>
      </c>
      <c r="T38" s="246" t="str">
        <f>A40</f>
        <v>Speich</v>
      </c>
      <c r="U38" s="364" t="str">
        <f>E40</f>
        <v>S-70</v>
      </c>
      <c r="V38" s="247">
        <f>G40</f>
        <v>6040.2201999999997</v>
      </c>
      <c r="W38" s="248">
        <f>H40</f>
        <v>42474.577777777777</v>
      </c>
      <c r="X38" s="247">
        <f>M40</f>
        <v>0</v>
      </c>
      <c r="Y38" s="247">
        <f t="shared" si="2"/>
        <v>0</v>
      </c>
      <c r="Z38" s="247"/>
      <c r="AA38" s="247"/>
      <c r="AB38" s="249" t="s">
        <v>617</v>
      </c>
      <c r="AC38" s="363">
        <f>SUM(AC36:AC37)</f>
        <v>23181.021199999999</v>
      </c>
      <c r="AD38" s="362">
        <f>AC38+AD34</f>
        <v>241214.753</v>
      </c>
      <c r="AE38" s="363"/>
      <c r="AF38" s="250"/>
    </row>
    <row r="39" spans="1:43" x14ac:dyDescent="0.2">
      <c r="A39" s="527" t="s">
        <v>598</v>
      </c>
      <c r="B39" s="528" t="s">
        <v>596</v>
      </c>
      <c r="C39" s="528" t="s">
        <v>201</v>
      </c>
      <c r="D39" s="528">
        <v>15</v>
      </c>
      <c r="E39" s="528" t="s">
        <v>633</v>
      </c>
      <c r="F39" s="529" t="s">
        <v>822</v>
      </c>
      <c r="G39" s="530">
        <v>15697.6</v>
      </c>
      <c r="H39" s="531">
        <v>42454.00277777778</v>
      </c>
      <c r="I39" s="420" t="str">
        <f t="shared" si="1"/>
        <v>MG</v>
      </c>
      <c r="J39" s="422">
        <f t="shared" si="5"/>
        <v>960</v>
      </c>
      <c r="K39" s="423">
        <v>1.56976</v>
      </c>
      <c r="L39" s="424">
        <f>IF(I39="MG",$D$4,IF(I39="DG",D3))</f>
        <v>2</v>
      </c>
      <c r="M39" s="423">
        <f t="shared" si="6"/>
        <v>3013.9392000000003</v>
      </c>
      <c r="N39" s="423">
        <f t="shared" si="0"/>
        <v>0.192</v>
      </c>
      <c r="O39" s="425">
        <f t="shared" si="7"/>
        <v>-32.267470588235291</v>
      </c>
      <c r="P39" s="501">
        <f t="shared" si="8"/>
        <v>0.12227231656189505</v>
      </c>
      <c r="AI39" s="238"/>
      <c r="AJ39" s="49"/>
    </row>
    <row r="40" spans="1:43" x14ac:dyDescent="0.2">
      <c r="A40" s="517" t="s">
        <v>595</v>
      </c>
      <c r="B40" s="518" t="s">
        <v>596</v>
      </c>
      <c r="C40" s="518" t="s">
        <v>201</v>
      </c>
      <c r="D40" s="518">
        <v>70</v>
      </c>
      <c r="E40" s="518" t="s">
        <v>637</v>
      </c>
      <c r="F40" s="520" t="s">
        <v>822</v>
      </c>
      <c r="G40" s="521">
        <v>6040.2201999999997</v>
      </c>
      <c r="H40" s="531">
        <v>42474.577777777777</v>
      </c>
      <c r="I40" s="432" t="str">
        <f t="shared" si="1"/>
        <v>MG</v>
      </c>
      <c r="J40" s="434">
        <f t="shared" si="5"/>
        <v>960</v>
      </c>
      <c r="K40" s="435">
        <v>0.60402199999999995</v>
      </c>
      <c r="L40" s="436" t="b">
        <f>IF(A40="Speich***",$C$7,IF(A40="Friess",$C$10,IF(A40="Mathis",$C$11)))</f>
        <v>0</v>
      </c>
      <c r="M40" s="435">
        <f t="shared" si="6"/>
        <v>0</v>
      </c>
      <c r="N40" s="435">
        <f t="shared" si="0"/>
        <v>0</v>
      </c>
      <c r="O40" s="437">
        <f t="shared" si="7"/>
        <v>-32.267470588235291</v>
      </c>
      <c r="P40" s="503">
        <f t="shared" si="8"/>
        <v>0</v>
      </c>
      <c r="AC40" t="s">
        <v>636</v>
      </c>
      <c r="AG40" s="238"/>
      <c r="AH40" s="231"/>
      <c r="AJ40" s="49"/>
    </row>
    <row r="41" spans="1:43" x14ac:dyDescent="0.2">
      <c r="A41" s="448"/>
      <c r="B41" s="448"/>
      <c r="C41" s="448"/>
      <c r="D41" s="448"/>
      <c r="E41" s="448"/>
      <c r="F41" s="448"/>
      <c r="G41" s="467">
        <f>SUM(G20:G40)</f>
        <v>331314.2932999999</v>
      </c>
      <c r="H41" s="453"/>
      <c r="I41" s="459"/>
      <c r="J41" s="454"/>
      <c r="K41" s="459"/>
      <c r="L41" s="483" t="s">
        <v>640</v>
      </c>
      <c r="M41" s="484">
        <f>SUM(M20:M40)</f>
        <v>24649.399673999997</v>
      </c>
      <c r="N41" s="484"/>
      <c r="O41" s="459"/>
      <c r="P41" s="485"/>
      <c r="Q41" s="448"/>
      <c r="T41" s="254"/>
      <c r="Y41" s="231"/>
      <c r="Z41" s="231"/>
      <c r="AA41" s="231"/>
      <c r="AB41" s="238" t="s">
        <v>199</v>
      </c>
      <c r="AC41" s="231">
        <f>SUM(V20,V26:V28,V36)</f>
        <v>101721.70200000002</v>
      </c>
      <c r="AD41" s="308">
        <f>AC41/$Z$44</f>
        <v>0.92555806955801934</v>
      </c>
      <c r="AE41" s="238"/>
      <c r="AF41" s="238"/>
      <c r="AH41" s="231"/>
    </row>
    <row r="42" spans="1:43" x14ac:dyDescent="0.2">
      <c r="A42" s="448"/>
      <c r="B42" s="448"/>
      <c r="C42" s="448"/>
      <c r="D42" s="448"/>
      <c r="E42" s="448"/>
      <c r="F42" s="448"/>
      <c r="G42" s="448"/>
      <c r="H42" s="453"/>
      <c r="I42" s="459"/>
      <c r="J42" s="454"/>
      <c r="K42" s="489"/>
      <c r="L42" s="489" t="s">
        <v>641</v>
      </c>
      <c r="M42" s="454"/>
      <c r="N42" s="454"/>
      <c r="O42" s="504"/>
      <c r="P42" s="505"/>
      <c r="Q42" s="448"/>
      <c r="T42" s="231"/>
      <c r="U42" s="231"/>
      <c r="V42" s="231"/>
      <c r="W42" s="231"/>
      <c r="X42" s="231"/>
      <c r="Y42" s="231"/>
      <c r="Z42" s="231"/>
      <c r="AA42" s="231"/>
      <c r="AB42" t="s">
        <v>200</v>
      </c>
      <c r="AC42" s="231">
        <f>SUM(V21,V29:V31,V34)</f>
        <v>39247.3298</v>
      </c>
      <c r="AD42" s="308">
        <f>AC42/$Z$44</f>
        <v>0.35710848413640306</v>
      </c>
      <c r="AH42" s="231"/>
    </row>
    <row r="43" spans="1:43" ht="15.95" thickBot="1" x14ac:dyDescent="0.25">
      <c r="A43" s="448"/>
      <c r="B43" s="448"/>
      <c r="C43" s="448"/>
      <c r="D43" s="448"/>
      <c r="E43" s="453"/>
      <c r="F43" s="459"/>
      <c r="G43" s="459"/>
      <c r="H43" s="459"/>
      <c r="I43" s="454"/>
      <c r="J43" s="454"/>
      <c r="K43" s="459"/>
      <c r="L43" s="459"/>
      <c r="M43" s="485"/>
      <c r="N43" s="448"/>
      <c r="P43" t="s">
        <v>138</v>
      </c>
      <c r="Q43" s="231"/>
      <c r="R43" s="231"/>
      <c r="S43" s="231"/>
      <c r="T43" s="231"/>
      <c r="U43" s="231"/>
      <c r="V43" s="231"/>
      <c r="W43" s="231"/>
      <c r="X43" s="231"/>
      <c r="Y43" t="s">
        <v>201</v>
      </c>
      <c r="Z43" s="231">
        <f>SUM(V23,V25,V33,V35)</f>
        <v>109903.101</v>
      </c>
      <c r="AA43" s="308">
        <f>Z43/$Z$44</f>
        <v>1</v>
      </c>
    </row>
    <row r="44" spans="1:43" s="373" customFormat="1" ht="15.95" thickBot="1" x14ac:dyDescent="0.25">
      <c r="A44" s="468" t="s">
        <v>823</v>
      </c>
      <c r="B44" s="463"/>
      <c r="C44" s="463"/>
      <c r="D44" s="463"/>
      <c r="E44" s="468"/>
      <c r="F44" s="469"/>
      <c r="G44" s="463"/>
      <c r="H44" s="463"/>
      <c r="I44" s="463"/>
      <c r="J44" s="463"/>
      <c r="K44" s="463"/>
      <c r="L44" s="463"/>
      <c r="M44" s="464"/>
      <c r="N44" s="448"/>
      <c r="Q44" s="443"/>
      <c r="R44" s="443"/>
      <c r="S44" s="443"/>
      <c r="T44" s="443"/>
      <c r="U44" s="443"/>
      <c r="V44" s="443"/>
      <c r="W44" s="443"/>
      <c r="X44" s="443"/>
      <c r="Y44" s="444" t="s">
        <v>755</v>
      </c>
      <c r="Z44" s="445">
        <f>SUM(Z41:Z43)</f>
        <v>109903.101</v>
      </c>
      <c r="AA44" s="373" t="s">
        <v>766</v>
      </c>
    </row>
    <row r="45" spans="1:43" ht="15.95" thickBot="1" x14ac:dyDescent="0.25">
      <c r="A45" s="468" t="s">
        <v>829</v>
      </c>
      <c r="B45" s="463"/>
      <c r="C45" s="463"/>
      <c r="D45" s="463"/>
      <c r="E45" s="468"/>
      <c r="F45" s="469"/>
      <c r="G45" s="463"/>
      <c r="H45" s="463"/>
      <c r="I45" s="463"/>
      <c r="J45" s="463"/>
      <c r="K45" s="463"/>
      <c r="L45" s="463"/>
      <c r="M45" s="464"/>
      <c r="N45" s="448"/>
      <c r="Q45" s="231"/>
      <c r="R45" s="231"/>
      <c r="S45" s="231"/>
      <c r="T45" s="231"/>
      <c r="U45" s="231"/>
      <c r="V45" s="231"/>
      <c r="W45" s="231"/>
      <c r="X45" s="231"/>
    </row>
    <row r="46" spans="1:43" ht="15.95" thickBot="1" x14ac:dyDescent="0.25">
      <c r="A46" s="456" t="s">
        <v>742</v>
      </c>
      <c r="B46" s="470"/>
      <c r="C46" s="470"/>
      <c r="D46" s="471"/>
      <c r="E46" s="456"/>
      <c r="F46" s="470"/>
      <c r="G46" s="470"/>
      <c r="H46" s="470"/>
      <c r="I46" s="457"/>
      <c r="J46" s="457"/>
      <c r="K46" s="457"/>
      <c r="L46" s="457"/>
      <c r="M46" s="458"/>
      <c r="N46" s="448"/>
      <c r="Q46" s="231"/>
      <c r="R46" s="231"/>
      <c r="S46" s="231"/>
      <c r="T46" s="231"/>
      <c r="U46" s="231"/>
      <c r="V46" s="259"/>
      <c r="W46" s="259"/>
      <c r="X46" s="259"/>
    </row>
    <row r="47" spans="1:43" ht="15.95" thickBot="1" x14ac:dyDescent="0.25">
      <c r="Q47" s="231"/>
      <c r="R47" s="231"/>
      <c r="S47" s="259"/>
      <c r="T47" s="50"/>
      <c r="U47" s="259"/>
      <c r="V47" s="231"/>
      <c r="W47" s="231"/>
      <c r="X47" s="231"/>
    </row>
    <row r="48" spans="1:43" x14ac:dyDescent="0.2">
      <c r="A48" s="460" t="s">
        <v>643</v>
      </c>
      <c r="B48" s="447"/>
      <c r="C48" s="447"/>
      <c r="D48" s="447"/>
      <c r="E48" s="447"/>
      <c r="F48" s="447"/>
      <c r="G48" s="447"/>
      <c r="H48" s="447"/>
      <c r="I48" s="506"/>
      <c r="J48" s="506"/>
      <c r="K48" s="447"/>
      <c r="L48" s="447"/>
      <c r="M48" s="461"/>
      <c r="AO48" s="262"/>
    </row>
    <row r="49" spans="1:51" x14ac:dyDescent="0.2">
      <c r="A49" s="453" t="s">
        <v>784</v>
      </c>
      <c r="B49" s="483">
        <v>-33.234000000000002</v>
      </c>
      <c r="C49" s="459"/>
      <c r="D49" s="459"/>
      <c r="E49" s="459"/>
      <c r="F49" s="459"/>
      <c r="G49" s="459"/>
      <c r="H49" s="459"/>
      <c r="I49" s="454"/>
      <c r="J49" s="454"/>
      <c r="K49" s="459"/>
      <c r="L49" s="459"/>
      <c r="M49" s="485"/>
    </row>
    <row r="50" spans="1:51" x14ac:dyDescent="0.2">
      <c r="A50" s="453" t="s">
        <v>785</v>
      </c>
      <c r="B50" s="483">
        <v>-32.963999999999999</v>
      </c>
      <c r="C50" s="459"/>
      <c r="D50" s="459"/>
      <c r="E50" s="459"/>
      <c r="F50" s="459"/>
      <c r="G50" s="459"/>
      <c r="H50" s="459"/>
      <c r="I50" s="454"/>
      <c r="J50" s="454"/>
      <c r="K50" s="459"/>
      <c r="L50" s="459"/>
      <c r="M50" s="485"/>
    </row>
    <row r="51" spans="1:51" x14ac:dyDescent="0.2">
      <c r="A51" s="453" t="s">
        <v>786</v>
      </c>
      <c r="B51" s="483">
        <v>-32.679000000000002</v>
      </c>
      <c r="C51" s="459"/>
      <c r="D51" s="459"/>
      <c r="E51" s="459"/>
      <c r="F51" s="459"/>
      <c r="G51" s="459"/>
      <c r="H51" s="459"/>
      <c r="I51" s="454"/>
      <c r="J51" s="454"/>
      <c r="K51" s="459"/>
      <c r="L51" s="459"/>
      <c r="M51" s="485"/>
    </row>
    <row r="52" spans="1:51" x14ac:dyDescent="0.2">
      <c r="A52" s="453" t="s">
        <v>787</v>
      </c>
      <c r="B52" s="483">
        <v>-32.697000000000003</v>
      </c>
      <c r="C52" s="459"/>
      <c r="D52" s="459"/>
      <c r="E52" s="459"/>
      <c r="F52" s="459"/>
      <c r="G52" s="459"/>
      <c r="H52" s="459"/>
      <c r="I52" s="454"/>
      <c r="J52" s="454"/>
      <c r="K52" s="459"/>
      <c r="L52" s="459"/>
      <c r="M52" s="485"/>
    </row>
    <row r="53" spans="1:51" x14ac:dyDescent="0.2">
      <c r="A53" s="453" t="s">
        <v>788</v>
      </c>
      <c r="B53" s="483">
        <v>-32.427</v>
      </c>
      <c r="C53" s="459"/>
      <c r="D53" s="459"/>
      <c r="E53" s="459"/>
      <c r="F53" s="459"/>
      <c r="G53" s="459"/>
      <c r="H53" s="459"/>
      <c r="I53" s="454"/>
      <c r="J53" s="454"/>
      <c r="K53" s="459"/>
      <c r="L53" s="459"/>
      <c r="M53" s="485"/>
    </row>
    <row r="54" spans="1:51" x14ac:dyDescent="0.2">
      <c r="A54" s="453" t="s">
        <v>789</v>
      </c>
      <c r="B54" s="483">
        <v>-32.283999999999999</v>
      </c>
      <c r="C54" s="459"/>
      <c r="D54" s="459"/>
      <c r="E54" s="459"/>
      <c r="F54" s="459"/>
      <c r="G54" s="459"/>
      <c r="H54" s="459"/>
      <c r="I54" s="454"/>
      <c r="J54" s="454"/>
      <c r="K54" s="459"/>
      <c r="L54" s="459"/>
      <c r="M54" s="485"/>
    </row>
    <row r="55" spans="1:51" x14ac:dyDescent="0.2">
      <c r="A55" s="453" t="s">
        <v>790</v>
      </c>
      <c r="B55" s="483">
        <v>-32.448</v>
      </c>
      <c r="C55" s="459"/>
      <c r="D55" s="459"/>
      <c r="E55" s="459"/>
      <c r="F55" s="459"/>
      <c r="G55" s="459"/>
      <c r="H55" s="459"/>
      <c r="I55" s="454"/>
      <c r="J55" s="454"/>
      <c r="K55" s="459"/>
      <c r="L55" s="459"/>
      <c r="M55" s="485"/>
    </row>
    <row r="56" spans="1:51" x14ac:dyDescent="0.2">
      <c r="A56" s="453" t="s">
        <v>791</v>
      </c>
      <c r="B56" s="483">
        <v>-32.317999999999998</v>
      </c>
      <c r="C56" s="459"/>
      <c r="D56" s="459"/>
      <c r="E56" s="459"/>
      <c r="F56" s="459"/>
      <c r="G56" s="459"/>
      <c r="H56" s="459"/>
      <c r="I56" s="454"/>
      <c r="J56" s="454"/>
      <c r="K56" s="459"/>
      <c r="L56" s="459"/>
      <c r="M56" s="485"/>
    </row>
    <row r="57" spans="1:51" x14ac:dyDescent="0.2">
      <c r="A57" s="453" t="s">
        <v>792</v>
      </c>
      <c r="B57" s="483">
        <v>-32.152999999999999</v>
      </c>
      <c r="C57" s="459"/>
      <c r="D57" s="459"/>
      <c r="E57" s="459"/>
      <c r="F57" s="459"/>
      <c r="G57" s="459"/>
      <c r="H57" s="459"/>
      <c r="I57" s="454"/>
      <c r="J57" s="454"/>
      <c r="K57" s="459"/>
      <c r="L57" s="459"/>
      <c r="M57" s="485"/>
    </row>
    <row r="58" spans="1:51" x14ac:dyDescent="0.2">
      <c r="A58" s="453" t="s">
        <v>793</v>
      </c>
      <c r="B58" s="483">
        <v>-31.581</v>
      </c>
      <c r="C58" s="459"/>
      <c r="D58" s="459"/>
      <c r="E58" s="459"/>
      <c r="F58" s="459"/>
      <c r="G58" s="459"/>
      <c r="H58" s="459"/>
      <c r="I58" s="454"/>
      <c r="J58" s="454"/>
      <c r="K58" s="459"/>
      <c r="L58" s="459"/>
      <c r="M58" s="485"/>
    </row>
    <row r="59" spans="1:51" x14ac:dyDescent="0.2">
      <c r="A59" s="453" t="s">
        <v>794</v>
      </c>
      <c r="B59" s="483">
        <v>-31.687999999999999</v>
      </c>
      <c r="C59" s="459"/>
      <c r="D59" s="459"/>
      <c r="E59" s="459"/>
      <c r="F59" s="459"/>
      <c r="G59" s="459"/>
      <c r="H59" s="459"/>
      <c r="I59" s="454"/>
      <c r="J59" s="454"/>
      <c r="K59" s="459"/>
      <c r="L59" s="459"/>
      <c r="M59" s="485"/>
    </row>
    <row r="60" spans="1:51" x14ac:dyDescent="0.2">
      <c r="A60" s="453" t="s">
        <v>795</v>
      </c>
      <c r="B60" s="483">
        <v>-31.645</v>
      </c>
      <c r="C60" s="459"/>
      <c r="D60" s="459"/>
      <c r="E60" s="459"/>
      <c r="F60" s="459"/>
      <c r="G60" s="459"/>
      <c r="H60" s="459"/>
      <c r="I60" s="454"/>
      <c r="J60" s="454"/>
      <c r="K60" s="459"/>
      <c r="L60" s="459"/>
      <c r="M60" s="485"/>
    </row>
    <row r="61" spans="1:51" x14ac:dyDescent="0.2">
      <c r="A61" s="507" t="s">
        <v>671</v>
      </c>
      <c r="B61" s="484">
        <f>AVERAGE(B49:B60)</f>
        <v>-32.343166666666669</v>
      </c>
      <c r="C61" s="459"/>
      <c r="D61" s="459"/>
      <c r="E61" s="459"/>
      <c r="F61" s="459"/>
      <c r="G61" s="459"/>
      <c r="H61" s="459"/>
      <c r="I61" s="454"/>
      <c r="J61" s="454"/>
      <c r="K61" s="459"/>
      <c r="L61" s="459"/>
      <c r="M61" s="485"/>
    </row>
    <row r="62" spans="1:51" ht="15.95" thickBot="1" x14ac:dyDescent="0.25">
      <c r="A62" s="450" t="s">
        <v>801</v>
      </c>
      <c r="B62" s="510">
        <f>STDEVA(B49:B60)</f>
        <v>0.51986831083079243</v>
      </c>
      <c r="C62" s="470"/>
      <c r="D62" s="470"/>
      <c r="E62" s="470"/>
      <c r="F62" s="470"/>
      <c r="G62" s="470"/>
      <c r="H62" s="470"/>
      <c r="I62" s="457"/>
      <c r="J62" s="457"/>
      <c r="K62" s="470"/>
      <c r="L62" s="470"/>
      <c r="M62" s="509"/>
    </row>
    <row r="63" spans="1:51" ht="15.75" thickBot="1" x14ac:dyDescent="0.3">
      <c r="A63" s="453"/>
      <c r="B63" s="483"/>
      <c r="C63" s="459"/>
      <c r="D63" s="459"/>
      <c r="E63" s="459"/>
      <c r="F63" s="459"/>
      <c r="G63" s="459"/>
      <c r="H63" s="459"/>
      <c r="I63" s="454"/>
      <c r="J63" s="454"/>
      <c r="K63" s="459"/>
      <c r="L63" s="459"/>
      <c r="M63" s="485"/>
    </row>
    <row r="64" spans="1:51" x14ac:dyDescent="0.25">
      <c r="A64" s="446" t="s">
        <v>796</v>
      </c>
      <c r="B64" s="511">
        <v>-32.375</v>
      </c>
      <c r="C64" s="447"/>
      <c r="D64" s="447"/>
      <c r="E64" s="447"/>
      <c r="F64" s="447"/>
      <c r="G64" s="447"/>
      <c r="H64" s="447"/>
      <c r="I64" s="506"/>
      <c r="J64" s="506"/>
      <c r="K64" s="447"/>
      <c r="L64" s="447"/>
      <c r="M64" s="461"/>
      <c r="AY64" s="286" t="s">
        <v>682</v>
      </c>
    </row>
    <row r="65" spans="1:51" x14ac:dyDescent="0.25">
      <c r="A65" s="453" t="s">
        <v>797</v>
      </c>
      <c r="B65" s="483">
        <v>-32.651000000000003</v>
      </c>
      <c r="C65" s="459"/>
      <c r="D65" s="459"/>
      <c r="E65" s="459"/>
      <c r="F65" s="459"/>
      <c r="G65" s="459"/>
      <c r="H65" s="459"/>
      <c r="I65" s="454"/>
      <c r="J65" s="454"/>
      <c r="K65" s="459"/>
      <c r="L65" s="459"/>
      <c r="M65" s="485"/>
      <c r="AY65">
        <v>-25.65</v>
      </c>
    </row>
    <row r="66" spans="1:51" x14ac:dyDescent="0.25">
      <c r="A66" s="453" t="s">
        <v>798</v>
      </c>
      <c r="B66" s="483">
        <v>-31.660999999999998</v>
      </c>
      <c r="C66" s="459"/>
      <c r="D66" s="459"/>
      <c r="E66" s="459"/>
      <c r="F66" s="459"/>
      <c r="G66" s="459"/>
      <c r="H66" s="459"/>
      <c r="I66" s="454"/>
      <c r="J66" s="454"/>
      <c r="K66" s="459"/>
      <c r="L66" s="459"/>
      <c r="M66" s="485"/>
      <c r="AY66">
        <v>-25.65</v>
      </c>
    </row>
    <row r="67" spans="1:51" x14ac:dyDescent="0.25">
      <c r="A67" s="453" t="s">
        <v>799</v>
      </c>
      <c r="B67" s="483">
        <v>-31.782999999999998</v>
      </c>
      <c r="C67" s="459"/>
      <c r="D67" s="459"/>
      <c r="E67" s="459"/>
      <c r="F67" s="459"/>
      <c r="G67" s="459"/>
      <c r="H67" s="459"/>
      <c r="I67" s="454"/>
      <c r="J67" s="454"/>
      <c r="K67" s="459"/>
      <c r="L67" s="459"/>
      <c r="M67" s="485"/>
      <c r="AY67">
        <v>-25.65</v>
      </c>
    </row>
    <row r="68" spans="1:51" x14ac:dyDescent="0.25">
      <c r="A68" s="453" t="s">
        <v>800</v>
      </c>
      <c r="B68" s="483">
        <v>-31.959</v>
      </c>
      <c r="C68" s="459"/>
      <c r="D68" s="459"/>
      <c r="E68" s="459"/>
      <c r="F68" s="459"/>
      <c r="G68" s="459"/>
      <c r="H68" s="459"/>
      <c r="I68" s="454"/>
      <c r="J68" s="454"/>
      <c r="K68" s="459"/>
      <c r="L68" s="459"/>
      <c r="M68" s="485"/>
      <c r="AY68">
        <v>-25.65</v>
      </c>
    </row>
    <row r="69" spans="1:51" x14ac:dyDescent="0.25">
      <c r="A69" s="507" t="s">
        <v>694</v>
      </c>
      <c r="B69" s="484">
        <f>AVERAGE(B64:B68)</f>
        <v>-32.085799999999999</v>
      </c>
      <c r="C69" s="459"/>
      <c r="D69" s="459"/>
      <c r="E69" s="459"/>
      <c r="F69" s="459"/>
      <c r="G69" s="459"/>
      <c r="H69" s="459"/>
      <c r="I69" s="454"/>
      <c r="J69" s="454"/>
      <c r="K69" s="459"/>
      <c r="L69" s="459"/>
      <c r="M69" s="485"/>
      <c r="AY69">
        <v>-25.65</v>
      </c>
    </row>
    <row r="70" spans="1:51" ht="15.75" thickBot="1" x14ac:dyDescent="0.3">
      <c r="A70" s="450" t="s">
        <v>802</v>
      </c>
      <c r="B70" s="510">
        <f>STDEVA(B64:B68)</f>
        <v>0.4157249090444326</v>
      </c>
      <c r="C70" s="470"/>
      <c r="D70" s="470"/>
      <c r="E70" s="470"/>
      <c r="F70" s="470"/>
      <c r="G70" s="470"/>
      <c r="H70" s="470"/>
      <c r="I70" s="457"/>
      <c r="J70" s="457"/>
      <c r="K70" s="470"/>
      <c r="L70" s="470"/>
      <c r="M70" s="509"/>
      <c r="AY70">
        <v>-25.65</v>
      </c>
    </row>
    <row r="71" spans="1:51" ht="15.75" thickBot="1" x14ac:dyDescent="0.3">
      <c r="A71" s="453"/>
      <c r="B71" s="459"/>
      <c r="C71" s="459"/>
      <c r="D71" s="459"/>
      <c r="E71" s="459"/>
      <c r="F71" s="459"/>
      <c r="G71" s="459"/>
      <c r="H71" s="459"/>
      <c r="I71" s="454"/>
      <c r="J71" s="454"/>
      <c r="K71" s="459"/>
      <c r="L71" s="459"/>
      <c r="M71" s="485"/>
      <c r="AY71">
        <v>-25.65</v>
      </c>
    </row>
    <row r="72" spans="1:51" x14ac:dyDescent="0.25">
      <c r="A72" s="460" t="s">
        <v>803</v>
      </c>
      <c r="B72" s="512">
        <f>AVERAGE(B49:B60,B64:B68)</f>
        <v>-32.267470588235291</v>
      </c>
      <c r="C72" s="447"/>
      <c r="D72" s="447"/>
      <c r="E72" s="447"/>
      <c r="F72" s="447"/>
      <c r="G72" s="447"/>
      <c r="H72" s="447"/>
      <c r="I72" s="506"/>
      <c r="J72" s="506"/>
      <c r="K72" s="447"/>
      <c r="L72" s="447"/>
      <c r="M72" s="461"/>
      <c r="AY72">
        <v>-25.65</v>
      </c>
    </row>
    <row r="73" spans="1:51" ht="15.75" thickBot="1" x14ac:dyDescent="0.3">
      <c r="A73" s="450" t="s">
        <v>804</v>
      </c>
      <c r="B73" s="508">
        <f>STDEVA(B49:B60,B64:B68)</f>
        <v>0.49358270807017068</v>
      </c>
      <c r="C73" s="470"/>
      <c r="D73" s="470"/>
      <c r="E73" s="470"/>
      <c r="F73" s="470"/>
      <c r="G73" s="470"/>
      <c r="H73" s="470"/>
      <c r="I73" s="457"/>
      <c r="J73" s="457"/>
      <c r="K73" s="470"/>
      <c r="L73" s="470"/>
      <c r="M73" s="509"/>
      <c r="AY73">
        <v>-25.65</v>
      </c>
    </row>
    <row r="74" spans="1:51" x14ac:dyDescent="0.25">
      <c r="AY74">
        <v>-25.65</v>
      </c>
    </row>
    <row r="75" spans="1:51" x14ac:dyDescent="0.25">
      <c r="AY75">
        <v>-25.65</v>
      </c>
    </row>
    <row r="76" spans="1:51" x14ac:dyDescent="0.25">
      <c r="AY76">
        <v>-25.65</v>
      </c>
    </row>
    <row r="77" spans="1:51" x14ac:dyDescent="0.25">
      <c r="AG77">
        <v>-25.65</v>
      </c>
    </row>
    <row r="78" spans="1:51" ht="45" x14ac:dyDescent="0.25">
      <c r="A78" t="s">
        <v>643</v>
      </c>
      <c r="D78" s="264" t="s">
        <v>645</v>
      </c>
      <c r="AG78">
        <v>-25.65</v>
      </c>
    </row>
    <row r="79" spans="1:51" x14ac:dyDescent="0.25">
      <c r="A79" s="266" t="s">
        <v>647</v>
      </c>
      <c r="B79" s="266" t="s">
        <v>648</v>
      </c>
      <c r="C79" s="266">
        <v>-32.191000000000003</v>
      </c>
      <c r="D79" s="267">
        <f t="shared" ref="D79:D90" si="10">C79-1.043</f>
        <v>-33.234000000000002</v>
      </c>
      <c r="AG79">
        <v>-25.65</v>
      </c>
    </row>
    <row r="80" spans="1:51" x14ac:dyDescent="0.25">
      <c r="A80" s="266" t="s">
        <v>647</v>
      </c>
      <c r="B80" s="266" t="s">
        <v>649</v>
      </c>
      <c r="C80" s="266">
        <v>-31.920999999999999</v>
      </c>
      <c r="D80" s="267">
        <f t="shared" si="10"/>
        <v>-32.963999999999999</v>
      </c>
      <c r="AG80">
        <v>-25.65</v>
      </c>
    </row>
    <row r="81" spans="1:12" x14ac:dyDescent="0.25">
      <c r="A81" s="266" t="s">
        <v>647</v>
      </c>
      <c r="B81" s="266" t="s">
        <v>650</v>
      </c>
      <c r="C81" s="266">
        <v>-31.635999999999999</v>
      </c>
      <c r="D81" s="267">
        <f t="shared" si="10"/>
        <v>-32.679000000000002</v>
      </c>
    </row>
    <row r="82" spans="1:12" x14ac:dyDescent="0.25">
      <c r="A82" s="266" t="s">
        <v>647</v>
      </c>
      <c r="B82" s="266" t="s">
        <v>651</v>
      </c>
      <c r="C82" s="266">
        <v>-31.654</v>
      </c>
      <c r="D82" s="267">
        <f t="shared" si="10"/>
        <v>-32.697000000000003</v>
      </c>
    </row>
    <row r="83" spans="1:12" x14ac:dyDescent="0.25">
      <c r="A83" s="266" t="s">
        <v>647</v>
      </c>
      <c r="B83" s="266" t="s">
        <v>652</v>
      </c>
      <c r="C83" s="266">
        <v>-31.384</v>
      </c>
      <c r="D83" s="267">
        <f t="shared" si="10"/>
        <v>-32.427</v>
      </c>
      <c r="F83" s="269"/>
      <c r="G83" s="270" t="s">
        <v>626</v>
      </c>
      <c r="H83" s="270" t="s">
        <v>154</v>
      </c>
      <c r="I83"/>
      <c r="K83" s="49"/>
    </row>
    <row r="84" spans="1:12" x14ac:dyDescent="0.25">
      <c r="A84" s="266" t="s">
        <v>647</v>
      </c>
      <c r="B84" s="266" t="s">
        <v>654</v>
      </c>
      <c r="C84" s="266">
        <v>-31.241</v>
      </c>
      <c r="D84" s="267">
        <f t="shared" si="10"/>
        <v>-32.283999999999999</v>
      </c>
      <c r="F84" s="271" t="s">
        <v>655</v>
      </c>
      <c r="G84" s="272">
        <f>AVERAGE(D79:D81)</f>
        <v>-32.959000000000003</v>
      </c>
      <c r="H84" s="272">
        <f>STDEVA(D79:D81)</f>
        <v>0.27753378172755816</v>
      </c>
      <c r="I84"/>
      <c r="J84" s="273" t="s">
        <v>656</v>
      </c>
      <c r="K84" s="274"/>
    </row>
    <row r="85" spans="1:12" x14ac:dyDescent="0.25">
      <c r="A85" s="266" t="s">
        <v>658</v>
      </c>
      <c r="B85" s="266" t="s">
        <v>659</v>
      </c>
      <c r="C85" s="266">
        <v>-31.405000000000001</v>
      </c>
      <c r="D85" s="267">
        <f t="shared" si="10"/>
        <v>-32.448</v>
      </c>
      <c r="F85" s="271" t="s">
        <v>660</v>
      </c>
      <c r="G85" s="272">
        <f>AVERAGE(D85:D87)</f>
        <v>-32.306333333333328</v>
      </c>
      <c r="H85" s="272">
        <f>STDEVA(D85:D87)</f>
        <v>0.14784564022430138</v>
      </c>
      <c r="I85"/>
      <c r="J85" s="272">
        <f>AVERAGE(D79:D81,D85:D87)</f>
        <v>-32.632666666666672</v>
      </c>
      <c r="K85" s="272">
        <f>STDEVA(D79:D81,D85:D87)</f>
        <v>0.40907880251446349</v>
      </c>
    </row>
    <row r="86" spans="1:12" x14ac:dyDescent="0.25">
      <c r="A86" s="266" t="s">
        <v>658</v>
      </c>
      <c r="B86" s="266" t="s">
        <v>662</v>
      </c>
      <c r="C86" s="266">
        <v>-31.274999999999999</v>
      </c>
      <c r="D86" s="267">
        <f t="shared" si="10"/>
        <v>-32.317999999999998</v>
      </c>
      <c r="I86"/>
      <c r="K86" s="49"/>
    </row>
    <row r="87" spans="1:12" x14ac:dyDescent="0.25">
      <c r="A87" s="266" t="s">
        <v>658</v>
      </c>
      <c r="B87" s="266" t="s">
        <v>664</v>
      </c>
      <c r="C87" s="266">
        <v>-31.11</v>
      </c>
      <c r="D87" s="267">
        <f t="shared" si="10"/>
        <v>-32.152999999999999</v>
      </c>
      <c r="F87" s="269"/>
      <c r="G87" s="270" t="s">
        <v>606</v>
      </c>
      <c r="H87" s="270" t="s">
        <v>154</v>
      </c>
      <c r="I87"/>
      <c r="J87" s="273" t="s">
        <v>665</v>
      </c>
      <c r="K87" s="274"/>
    </row>
    <row r="88" spans="1:12" x14ac:dyDescent="0.25">
      <c r="A88" s="266" t="s">
        <v>658</v>
      </c>
      <c r="B88" s="266" t="s">
        <v>666</v>
      </c>
      <c r="C88" s="266">
        <v>-30.538</v>
      </c>
      <c r="D88" s="267">
        <f t="shared" si="10"/>
        <v>-31.581</v>
      </c>
      <c r="F88" s="271" t="s">
        <v>655</v>
      </c>
      <c r="G88" s="272">
        <f>AVERAGE(D82:D84)</f>
        <v>-32.469333333333331</v>
      </c>
      <c r="H88" s="272">
        <f>STDEVA(D82:D84)</f>
        <v>0.20972919046554814</v>
      </c>
      <c r="I88"/>
      <c r="J88" s="272">
        <f>AVERAGE(D82:D84,D88:D90)</f>
        <v>-32.053666666666665</v>
      </c>
      <c r="K88" s="272">
        <f>STDEVA(D82:D84,D88:D90)</f>
        <v>0.47548781968276282</v>
      </c>
    </row>
    <row r="89" spans="1:12" x14ac:dyDescent="0.25">
      <c r="A89" s="266" t="s">
        <v>658</v>
      </c>
      <c r="B89" s="266" t="s">
        <v>668</v>
      </c>
      <c r="C89" s="266">
        <v>-30.645</v>
      </c>
      <c r="D89" s="267">
        <f t="shared" si="10"/>
        <v>-31.687999999999999</v>
      </c>
      <c r="F89" s="271" t="s">
        <v>660</v>
      </c>
      <c r="G89" s="272">
        <f>AVERAGE(D88:D90)</f>
        <v>-31.638000000000002</v>
      </c>
      <c r="H89" s="272">
        <f>STDEVA(D88:D90)</f>
        <v>5.3842362503886909E-2</v>
      </c>
      <c r="I89"/>
      <c r="K89" s="49"/>
    </row>
    <row r="90" spans="1:12" x14ac:dyDescent="0.25">
      <c r="A90" s="275" t="s">
        <v>658</v>
      </c>
      <c r="B90" s="275" t="s">
        <v>670</v>
      </c>
      <c r="C90" s="275">
        <v>-30.602</v>
      </c>
      <c r="D90" s="267">
        <f t="shared" si="10"/>
        <v>-31.645</v>
      </c>
      <c r="I90"/>
      <c r="K90" s="49"/>
      <c r="L90" s="1"/>
    </row>
    <row r="91" spans="1:12" x14ac:dyDescent="0.25">
      <c r="A91" s="276" t="s">
        <v>671</v>
      </c>
      <c r="B91" s="277">
        <f>AVERAGE(D79:D90)</f>
        <v>-32.343166666666669</v>
      </c>
      <c r="C91" s="277">
        <f>STDEVA(D79:D90)</f>
        <v>0.51986831083079243</v>
      </c>
      <c r="D91" s="267"/>
      <c r="I91"/>
      <c r="K91" s="49"/>
    </row>
    <row r="92" spans="1:12" x14ac:dyDescent="0.25">
      <c r="D92" s="267"/>
      <c r="I92"/>
      <c r="K92" s="49"/>
    </row>
    <row r="93" spans="1:12" x14ac:dyDescent="0.25">
      <c r="A93" s="278" t="s">
        <v>675</v>
      </c>
      <c r="B93" s="278" t="s">
        <v>676</v>
      </c>
      <c r="C93" s="279">
        <v>-31.332000000000001</v>
      </c>
      <c r="D93" s="267">
        <f>C93-1.043</f>
        <v>-32.375</v>
      </c>
      <c r="I93"/>
      <c r="K93" s="49"/>
    </row>
    <row r="94" spans="1:12" x14ac:dyDescent="0.25">
      <c r="A94" s="278" t="s">
        <v>683</v>
      </c>
      <c r="B94" s="278" t="s">
        <v>684</v>
      </c>
      <c r="C94" s="279">
        <v>-31.608000000000001</v>
      </c>
      <c r="D94" s="267">
        <f>C94-1.043</f>
        <v>-32.651000000000003</v>
      </c>
      <c r="F94" s="269"/>
      <c r="G94" s="270" t="s">
        <v>685</v>
      </c>
      <c r="H94" s="270" t="s">
        <v>154</v>
      </c>
      <c r="I94"/>
      <c r="J94" s="49" t="s">
        <v>686</v>
      </c>
      <c r="K94" s="49"/>
    </row>
    <row r="95" spans="1:12" x14ac:dyDescent="0.25">
      <c r="A95" s="266" t="s">
        <v>687</v>
      </c>
      <c r="B95" s="266" t="s">
        <v>688</v>
      </c>
      <c r="C95" s="266">
        <v>-30.617999999999999</v>
      </c>
      <c r="D95" s="267">
        <f>C95-1.043</f>
        <v>-31.660999999999998</v>
      </c>
      <c r="F95" s="271" t="s">
        <v>655</v>
      </c>
      <c r="G95" s="272">
        <f>AVERAGE(D93:D94)</f>
        <v>-32.513000000000005</v>
      </c>
      <c r="H95" s="272">
        <f>STDEVA(D93:D94)</f>
        <v>0.19516147160748948</v>
      </c>
      <c r="I95"/>
      <c r="J95" s="49">
        <f>AVERAGE(J85,J88,B98)</f>
        <v>-32.257377777777776</v>
      </c>
      <c r="K95" s="49"/>
    </row>
    <row r="96" spans="1:12" x14ac:dyDescent="0.25">
      <c r="A96" s="266" t="s">
        <v>687</v>
      </c>
      <c r="B96" s="266" t="s">
        <v>690</v>
      </c>
      <c r="C96" s="266">
        <v>-30.74</v>
      </c>
      <c r="D96" s="267">
        <f>C96-1.043</f>
        <v>-31.782999999999998</v>
      </c>
      <c r="F96" s="271" t="s">
        <v>660</v>
      </c>
      <c r="G96" s="272">
        <f>AVERAGE(D95:D97)</f>
        <v>-31.800999999999998</v>
      </c>
      <c r="H96" s="272">
        <f>STDEVA(D95:D97)</f>
        <v>0.149813217040421</v>
      </c>
      <c r="I96"/>
      <c r="K96" s="49"/>
    </row>
    <row r="97" spans="1:9" x14ac:dyDescent="0.25">
      <c r="A97" s="275" t="s">
        <v>687</v>
      </c>
      <c r="B97" s="275" t="s">
        <v>693</v>
      </c>
      <c r="C97" s="275">
        <v>-30.916</v>
      </c>
      <c r="D97" s="267">
        <f>C97-1.043</f>
        <v>-31.959</v>
      </c>
    </row>
    <row r="98" spans="1:9" x14ac:dyDescent="0.25">
      <c r="A98" s="276" t="s">
        <v>694</v>
      </c>
      <c r="B98" s="277">
        <f>AVERAGE(D93:D97)</f>
        <v>-32.085799999999999</v>
      </c>
      <c r="C98" s="277">
        <f>STDEVA(D93:D97)</f>
        <v>0.4157249090444326</v>
      </c>
    </row>
    <row r="100" spans="1:9" x14ac:dyDescent="0.25">
      <c r="B100" t="s">
        <v>695</v>
      </c>
    </row>
    <row r="101" spans="1:9" ht="45" x14ac:dyDescent="0.25">
      <c r="B101" s="221" t="s">
        <v>575</v>
      </c>
      <c r="C101" s="221" t="s">
        <v>577</v>
      </c>
      <c r="D101" s="221" t="s">
        <v>696</v>
      </c>
      <c r="E101" s="221" t="s">
        <v>697</v>
      </c>
      <c r="F101" s="221" t="s">
        <v>698</v>
      </c>
      <c r="G101" s="221" t="s">
        <v>699</v>
      </c>
      <c r="H101" s="221" t="s">
        <v>700</v>
      </c>
    </row>
    <row r="102" spans="1:9" x14ac:dyDescent="0.25">
      <c r="A102" t="s">
        <v>601</v>
      </c>
      <c r="B102" s="226">
        <v>960</v>
      </c>
      <c r="C102" s="226">
        <v>0.6</v>
      </c>
      <c r="D102" s="226">
        <f>B102*C102</f>
        <v>576</v>
      </c>
      <c r="E102" s="226">
        <f>D102/10000</f>
        <v>5.7599999999999998E-2</v>
      </c>
      <c r="F102">
        <f>E102/$C$106</f>
        <v>5.8775510204081629E-8</v>
      </c>
      <c r="G102">
        <f>F102*10^2/1</f>
        <v>5.8775510204081632E-6</v>
      </c>
      <c r="H102" s="227">
        <f>G102*10^6/10^3</f>
        <v>5.8775510204081638E-3</v>
      </c>
      <c r="I102" s="109" t="s">
        <v>701</v>
      </c>
    </row>
    <row r="103" spans="1:9" x14ac:dyDescent="0.25">
      <c r="A103" t="s">
        <v>601</v>
      </c>
      <c r="B103" s="226">
        <v>960</v>
      </c>
      <c r="C103" s="226">
        <v>2</v>
      </c>
      <c r="D103" s="226">
        <f>B103*C103</f>
        <v>1920</v>
      </c>
      <c r="E103" s="226">
        <f>D103/10000</f>
        <v>0.192</v>
      </c>
      <c r="F103">
        <f>E103/$C$106</f>
        <v>1.9591836734693877E-7</v>
      </c>
      <c r="G103">
        <f>F103*10^2/1</f>
        <v>1.9591836734693877E-5</v>
      </c>
      <c r="H103" s="227">
        <f>G103*10^6/10^3</f>
        <v>1.9591836734693877E-2</v>
      </c>
      <c r="I103" s="109" t="s">
        <v>702</v>
      </c>
    </row>
    <row r="104" spans="1:9" x14ac:dyDescent="0.25">
      <c r="A104" s="293" t="s">
        <v>625</v>
      </c>
      <c r="B104" s="226">
        <v>960</v>
      </c>
      <c r="C104" s="226">
        <v>1.2</v>
      </c>
      <c r="D104" s="226">
        <f>B104*C104</f>
        <v>1152</v>
      </c>
      <c r="E104" s="226">
        <f>D104/10000</f>
        <v>0.1152</v>
      </c>
      <c r="F104">
        <f>E104/C106</f>
        <v>1.1755102040816326E-7</v>
      </c>
      <c r="G104">
        <f>F104*10^2/1</f>
        <v>1.1755102040816326E-5</v>
      </c>
      <c r="H104" s="227">
        <f>G104*10^6/10^3</f>
        <v>1.1755102040816328E-2</v>
      </c>
    </row>
    <row r="106" spans="1:9" x14ac:dyDescent="0.25">
      <c r="A106" t="str">
        <f>A15</f>
        <v>Soil Density (ρ)  =</v>
      </c>
      <c r="C106">
        <f>B15</f>
        <v>980000</v>
      </c>
    </row>
    <row r="120" spans="17:17" x14ac:dyDescent="0.25">
      <c r="Q120" s="30" t="s">
        <v>750</v>
      </c>
    </row>
  </sheetData>
  <mergeCells count="8">
    <mergeCell ref="AP18:AR18"/>
    <mergeCell ref="I18:P18"/>
    <mergeCell ref="A18:H18"/>
    <mergeCell ref="A1:A2"/>
    <mergeCell ref="C1:D1"/>
    <mergeCell ref="V18:W18"/>
    <mergeCell ref="AH18:AI18"/>
    <mergeCell ref="AJ18:AL18"/>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Water</vt:lpstr>
      <vt:lpstr>Soil_Composite</vt:lpstr>
      <vt:lpstr>Soil_Detailed</vt:lpstr>
      <vt:lpstr>Filter</vt:lpstr>
      <vt:lpstr>FieldConcentrations</vt:lpstr>
      <vt:lpstr>ConcSpatial</vt:lpstr>
      <vt:lpstr>MassAll_old</vt:lpstr>
      <vt:lpstr>App1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Wisselmann</dc:creator>
  <cp:lastModifiedBy>pablo alvarez</cp:lastModifiedBy>
  <cp:lastPrinted>2017-09-15T10:51:24Z</cp:lastPrinted>
  <dcterms:created xsi:type="dcterms:W3CDTF">2016-06-13T12:09:45Z</dcterms:created>
  <dcterms:modified xsi:type="dcterms:W3CDTF">2018-02-26T16:57:06Z</dcterms:modified>
</cp:coreProperties>
</file>