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21600" windowHeight="9285"/>
  </bookViews>
  <sheets>
    <sheet name="MassAll" sheetId="6" r:id="rId1"/>
    <sheet name="MassOut" sheetId="7" r:id="rId2"/>
    <sheet name="Mapp" sheetId="1" r:id="rId3"/>
    <sheet name="Mres" sheetId="2" r:id="rId4"/>
    <sheet name="Sheet4" sheetId="4" r:id="rId5"/>
  </sheets>
  <definedNames>
    <definedName name="_xlnm._FilterDatabase" localSheetId="0" hidden="1">MassAll!$A$3:$AL$24</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Z8" i="6" l="1"/>
  <c r="Z6" i="6"/>
  <c r="Z5" i="6"/>
  <c r="Z4" i="6"/>
  <c r="U25" i="6"/>
  <c r="T5" i="6"/>
  <c r="U5" i="6" s="1"/>
  <c r="T6" i="6"/>
  <c r="U6" i="6"/>
  <c r="T7" i="6"/>
  <c r="U7" i="6"/>
  <c r="T8" i="6"/>
  <c r="U8" i="6" s="1"/>
  <c r="T9" i="6"/>
  <c r="U9" i="6" s="1"/>
  <c r="T10" i="6"/>
  <c r="U10" i="6"/>
  <c r="T11" i="6"/>
  <c r="U11" i="6"/>
  <c r="T12" i="6"/>
  <c r="U12" i="6" s="1"/>
  <c r="T13" i="6"/>
  <c r="U13" i="6" s="1"/>
  <c r="T14" i="6"/>
  <c r="U14" i="6"/>
  <c r="T15" i="6"/>
  <c r="U15" i="6"/>
  <c r="T16" i="6"/>
  <c r="U16" i="6" s="1"/>
  <c r="T17" i="6"/>
  <c r="U17" i="6" s="1"/>
  <c r="T18" i="6"/>
  <c r="U18" i="6"/>
  <c r="T19" i="6"/>
  <c r="U19" i="6"/>
  <c r="T20" i="6"/>
  <c r="U20" i="6" s="1"/>
  <c r="T21" i="6"/>
  <c r="U21" i="6" s="1"/>
  <c r="T22" i="6"/>
  <c r="U22" i="6"/>
  <c r="T23" i="6"/>
  <c r="U23" i="6"/>
  <c r="T24" i="6"/>
  <c r="U24" i="6" s="1"/>
  <c r="U4" i="6"/>
  <c r="T4" i="6"/>
  <c r="Y7" i="6"/>
  <c r="Y8" i="6"/>
  <c r="Y6" i="6"/>
  <c r="Y5" i="6"/>
  <c r="Y4" i="6"/>
  <c r="K27" i="6" l="1"/>
  <c r="S5" i="6"/>
  <c r="S6" i="6"/>
  <c r="S7" i="6"/>
  <c r="S8" i="6"/>
  <c r="S9" i="6"/>
  <c r="S10" i="6"/>
  <c r="S11" i="6"/>
  <c r="S12" i="6"/>
  <c r="S13" i="6"/>
  <c r="S14" i="6"/>
  <c r="S15" i="6"/>
  <c r="S16" i="6"/>
  <c r="S17" i="6"/>
  <c r="S18" i="6"/>
  <c r="S19" i="6"/>
  <c r="S20" i="6"/>
  <c r="S21" i="6"/>
  <c r="S22" i="6"/>
  <c r="S23" i="6"/>
  <c r="S24" i="6"/>
  <c r="S4" i="6"/>
  <c r="N6" i="6"/>
  <c r="N7" i="6"/>
  <c r="N8" i="6"/>
  <c r="N9" i="6"/>
  <c r="N10" i="6"/>
  <c r="N11" i="6"/>
  <c r="N12" i="6"/>
  <c r="N13" i="6"/>
  <c r="N14" i="6"/>
  <c r="N15" i="6"/>
  <c r="N16" i="6"/>
  <c r="N17" i="6"/>
  <c r="N18" i="6"/>
  <c r="N19" i="6"/>
  <c r="N20" i="6"/>
  <c r="N21" i="6"/>
  <c r="N22" i="6"/>
  <c r="N23" i="6"/>
  <c r="N5" i="6"/>
  <c r="N4" i="6"/>
  <c r="H8" i="6"/>
  <c r="H13" i="6"/>
  <c r="H6" i="6"/>
  <c r="R61" i="6"/>
  <c r="M22" i="6" s="1"/>
  <c r="R60" i="6"/>
  <c r="M21" i="6" s="1"/>
  <c r="R59" i="6"/>
  <c r="R58" i="6"/>
  <c r="M17" i="6" s="1"/>
  <c r="R56" i="6"/>
  <c r="M15" i="6" s="1"/>
  <c r="R55" i="6"/>
  <c r="M14" i="6" s="1"/>
  <c r="R54" i="6"/>
  <c r="M13" i="6" s="1"/>
  <c r="R53" i="6"/>
  <c r="M12" i="6" s="1"/>
  <c r="R52" i="6"/>
  <c r="M10" i="6" s="1"/>
  <c r="R51" i="6"/>
  <c r="M9" i="6" s="1"/>
  <c r="R50" i="6"/>
  <c r="M8" i="6" s="1"/>
  <c r="R48" i="6"/>
  <c r="M6" i="6" s="1"/>
  <c r="R46" i="6"/>
  <c r="J37" i="6"/>
  <c r="I37" i="6"/>
  <c r="K18" i="6" s="1"/>
  <c r="J40" i="6"/>
  <c r="I40" i="6"/>
  <c r="K15" i="6" s="1"/>
  <c r="C42" i="6"/>
  <c r="B42" i="6"/>
  <c r="K20" i="6" s="1"/>
  <c r="C49" i="6"/>
  <c r="B49" i="6"/>
  <c r="G37" i="6"/>
  <c r="F37" i="6"/>
  <c r="G36" i="6"/>
  <c r="F36" i="6"/>
  <c r="G41" i="6"/>
  <c r="F41" i="6"/>
  <c r="G40" i="6"/>
  <c r="F40" i="6"/>
  <c r="G48" i="6"/>
  <c r="F48" i="6"/>
  <c r="G47" i="6"/>
  <c r="F47" i="6"/>
  <c r="J17" i="6"/>
  <c r="J4" i="6"/>
  <c r="J11" i="6"/>
  <c r="J24" i="6"/>
  <c r="J22" i="6"/>
  <c r="J18" i="6"/>
  <c r="J10" i="6"/>
  <c r="J12" i="6"/>
  <c r="J14" i="6"/>
  <c r="J15" i="6"/>
  <c r="J7" i="6"/>
  <c r="J9" i="6"/>
  <c r="J21" i="6"/>
  <c r="J19" i="6"/>
  <c r="J5" i="6"/>
  <c r="J16" i="6"/>
  <c r="J20" i="6"/>
  <c r="J23" i="6"/>
  <c r="O6" i="6" l="1"/>
  <c r="J26" i="6"/>
  <c r="O22" i="6"/>
  <c r="O21" i="6"/>
  <c r="O14" i="6"/>
  <c r="O15" i="6"/>
  <c r="O9" i="6"/>
  <c r="O10" i="6"/>
  <c r="O12" i="6"/>
  <c r="O13" i="6"/>
  <c r="N32" i="6"/>
  <c r="O8" i="6"/>
  <c r="O17" i="6"/>
  <c r="K10" i="6"/>
  <c r="K22" i="6"/>
  <c r="K7" i="6"/>
  <c r="K14" i="6"/>
  <c r="M20" i="6"/>
  <c r="O20" i="6" s="1"/>
  <c r="K19" i="6"/>
  <c r="K11" i="6"/>
  <c r="M7" i="6"/>
  <c r="O7" i="6" s="1"/>
  <c r="K17" i="6"/>
  <c r="K16" i="6"/>
  <c r="R47" i="6"/>
  <c r="R49" i="6"/>
  <c r="R57" i="6"/>
  <c r="N31" i="6" s="1"/>
  <c r="M4" i="6"/>
  <c r="O4" i="6" s="1"/>
  <c r="K21" i="6"/>
  <c r="K23" i="6"/>
  <c r="K24" i="6"/>
  <c r="K5" i="6"/>
  <c r="K12" i="6"/>
  <c r="K4" i="6"/>
  <c r="K9" i="6"/>
  <c r="M18" i="6" l="1"/>
  <c r="M19" i="6"/>
  <c r="M24" i="6"/>
  <c r="O24" i="6" s="1"/>
  <c r="M23" i="6"/>
  <c r="M5" i="6"/>
  <c r="O5" i="6" s="1"/>
  <c r="L21" i="6"/>
  <c r="L14" i="6"/>
  <c r="N30" i="6"/>
  <c r="M11" i="6" s="1"/>
  <c r="O11" i="6" s="1"/>
  <c r="M16" i="6"/>
  <c r="O16" i="6" s="1"/>
  <c r="O18" i="6"/>
  <c r="L10" i="6"/>
  <c r="L19" i="6"/>
  <c r="L15" i="6"/>
  <c r="L17" i="6"/>
  <c r="L20" i="6"/>
  <c r="L22" i="6"/>
  <c r="L11" i="6"/>
  <c r="L5" i="6"/>
  <c r="L9" i="6"/>
  <c r="L4" i="6"/>
  <c r="L23" i="6"/>
  <c r="L18" i="6"/>
  <c r="L24" i="6"/>
  <c r="L7" i="6"/>
  <c r="L12" i="6"/>
  <c r="L16" i="6"/>
  <c r="O23" i="6" l="1"/>
  <c r="O19" i="6"/>
  <c r="L20" i="1"/>
  <c r="L3" i="1"/>
  <c r="L4" i="1"/>
  <c r="L5" i="1"/>
  <c r="L6" i="1"/>
  <c r="L7" i="1"/>
  <c r="L8" i="1"/>
  <c r="L9" i="1"/>
  <c r="L10" i="1"/>
  <c r="L11" i="1"/>
  <c r="L12" i="1"/>
  <c r="L13" i="1"/>
  <c r="L14" i="1"/>
  <c r="L15" i="1"/>
  <c r="L16" i="1"/>
  <c r="L17" i="1"/>
  <c r="L18" i="1"/>
  <c r="L19" i="1"/>
  <c r="L2" i="1"/>
  <c r="K19" i="1"/>
  <c r="K18" i="1"/>
  <c r="K17" i="1"/>
  <c r="K16" i="1"/>
  <c r="K3" i="1"/>
  <c r="K4" i="1"/>
  <c r="K5" i="1"/>
  <c r="K6" i="1"/>
  <c r="K7" i="1"/>
  <c r="K2" i="1"/>
  <c r="K15" i="1"/>
  <c r="K14" i="1"/>
  <c r="K9" i="1"/>
  <c r="K10" i="1"/>
  <c r="K11" i="1"/>
  <c r="K12" i="1"/>
  <c r="K13" i="1"/>
  <c r="K8" i="1"/>
  <c r="C68" i="1"/>
  <c r="B68" i="1"/>
  <c r="C67" i="1"/>
  <c r="B67" i="1"/>
  <c r="C65" i="1"/>
  <c r="B65" i="1"/>
  <c r="C64" i="1"/>
  <c r="B64" i="1"/>
  <c r="C59" i="1"/>
  <c r="B59" i="1"/>
  <c r="C58" i="1"/>
  <c r="B58" i="1"/>
  <c r="C55" i="1"/>
  <c r="B55" i="1"/>
  <c r="C54" i="1"/>
  <c r="B54" i="1"/>
  <c r="C51" i="1"/>
  <c r="B51" i="1"/>
  <c r="C50" i="1"/>
  <c r="B50" i="1"/>
  <c r="R8" i="1"/>
  <c r="P8" i="1"/>
  <c r="Q8" i="1" s="1"/>
  <c r="Q16" i="1"/>
  <c r="R16" i="1"/>
  <c r="R15" i="1"/>
  <c r="P16" i="1"/>
  <c r="P15" i="1"/>
  <c r="Q15" i="1" s="1"/>
  <c r="O26" i="6" l="1"/>
  <c r="J3" i="1"/>
  <c r="J4" i="1"/>
  <c r="J5" i="1"/>
  <c r="J6" i="1"/>
  <c r="J7" i="1"/>
  <c r="J8" i="1"/>
  <c r="J9" i="1"/>
  <c r="J10" i="1"/>
  <c r="J11" i="1"/>
  <c r="J12" i="1"/>
  <c r="J13" i="1"/>
  <c r="J14" i="1"/>
  <c r="J15" i="1"/>
  <c r="J16" i="1"/>
  <c r="J17" i="1"/>
  <c r="J18" i="1"/>
  <c r="J19" i="1"/>
  <c r="J2" i="1"/>
  <c r="Q22" i="6" l="1"/>
  <c r="Q6" i="6"/>
  <c r="Q15" i="6"/>
  <c r="Q13" i="6"/>
  <c r="Q20" i="6"/>
  <c r="Q14" i="6"/>
  <c r="Q10" i="6"/>
  <c r="Q8" i="6"/>
  <c r="Q21" i="6"/>
  <c r="Q12" i="6"/>
  <c r="Q9" i="6"/>
  <c r="Q4" i="6"/>
  <c r="Q7" i="6"/>
  <c r="Q17" i="6"/>
  <c r="Q11" i="6"/>
  <c r="Q18" i="6"/>
  <c r="Q24" i="6"/>
  <c r="Q5" i="6"/>
  <c r="Q16" i="6"/>
  <c r="Q23" i="6"/>
  <c r="Q19" i="6"/>
  <c r="J20" i="1"/>
  <c r="P27" i="6" l="1"/>
</calcChain>
</file>

<file path=xl/sharedStrings.xml><?xml version="1.0" encoding="utf-8"?>
<sst xmlns="http://schemas.openxmlformats.org/spreadsheetml/2006/main" count="531" uniqueCount="226">
  <si>
    <t>AppDate</t>
  </si>
  <si>
    <t>Product1</t>
  </si>
  <si>
    <t>Friess</t>
  </si>
  <si>
    <t>Corn</t>
  </si>
  <si>
    <t>Beet</t>
  </si>
  <si>
    <t>Mathis</t>
  </si>
  <si>
    <t>S12</t>
  </si>
  <si>
    <t>Unknown</t>
  </si>
  <si>
    <t>Kopp</t>
  </si>
  <si>
    <t>Burger</t>
  </si>
  <si>
    <t>Speich</t>
  </si>
  <si>
    <t>Mahler</t>
  </si>
  <si>
    <t>N1</t>
  </si>
  <si>
    <t>Mme. Schmitt</t>
  </si>
  <si>
    <t>T10</t>
  </si>
  <si>
    <t>Farmer</t>
  </si>
  <si>
    <t>Crop</t>
  </si>
  <si>
    <t>Plot ID</t>
  </si>
  <si>
    <t>MG*</t>
  </si>
  <si>
    <t>MG</t>
  </si>
  <si>
    <t>DG</t>
  </si>
  <si>
    <t>S-11</t>
  </si>
  <si>
    <t>T-9</t>
  </si>
  <si>
    <t>N-2</t>
  </si>
  <si>
    <t>Tn-11</t>
  </si>
  <si>
    <t>S-13</t>
  </si>
  <si>
    <t>N-8</t>
  </si>
  <si>
    <t>T-4</t>
  </si>
  <si>
    <t>T-7</t>
  </si>
  <si>
    <t>T-8</t>
  </si>
  <si>
    <t>N-4</t>
  </si>
  <si>
    <t>N-7</t>
  </si>
  <si>
    <t>Sn-14(70?)</t>
  </si>
  <si>
    <t>Tn-9 (?)</t>
  </si>
  <si>
    <t>Nn-9(?)</t>
  </si>
  <si>
    <t>(43?)</t>
  </si>
  <si>
    <t>Area [m^2]</t>
  </si>
  <si>
    <t>Area [Ha]</t>
  </si>
  <si>
    <t>Filename</t>
  </si>
  <si>
    <t>N_I_1_D3</t>
  </si>
  <si>
    <t>N_I_2_D3</t>
  </si>
  <si>
    <t>N_I_3_D3</t>
  </si>
  <si>
    <t>N_I_4_D3</t>
  </si>
  <si>
    <t>N_I_5_D3</t>
  </si>
  <si>
    <t>N_I_7_D3</t>
  </si>
  <si>
    <t>N_I_8_D3</t>
  </si>
  <si>
    <t>T_I_4_D3</t>
  </si>
  <si>
    <t>T_I_5_D3</t>
  </si>
  <si>
    <t>T_I_7_D3</t>
  </si>
  <si>
    <t>T_I_8_D3</t>
  </si>
  <si>
    <t>T_I_9_D3</t>
  </si>
  <si>
    <t>T_I_10_D3</t>
  </si>
  <si>
    <t>S_I_11_D3</t>
  </si>
  <si>
    <t>S_I_12_D3</t>
  </si>
  <si>
    <t>S_I_13_D3</t>
  </si>
  <si>
    <t>N_I_3_D20</t>
  </si>
  <si>
    <t>N_I_5_D20</t>
  </si>
  <si>
    <t>N_I_7_D20</t>
  </si>
  <si>
    <t>S_I_11_D20</t>
  </si>
  <si>
    <t>S_I_12_D20</t>
  </si>
  <si>
    <t>S_I_13_D20</t>
  </si>
  <si>
    <t>Application Date</t>
  </si>
  <si>
    <t>To determine background levels, a detailed campaign was conducted on 29.03.2016. Unfortunately, one farmer had applied 9 days in advance and a second farmer refusing to provide information also is likely to have applied a few days before this sampling campaign took place.</t>
  </si>
  <si>
    <t>Measured Concentration [µg/g dry soil]</t>
  </si>
  <si>
    <t xml:space="preserve">Based on the analytical results it is likely that cross contamination occurred in the North transect in a westerly direction, as concentrations in the two neighbouring plots are significantly higher to the catchment's background average.  Therefore the median background concentration for this Transect was assumed for these three plots. </t>
  </si>
  <si>
    <t>Sampling date:</t>
  </si>
  <si>
    <t>29.03.2010</t>
  </si>
  <si>
    <t>For the South transect, the background concentrations could not be determined for two out of three plots. Therefore the background concentrations in the surface were assumed to be equivalent to concentrations found at 20cm depth.</t>
  </si>
  <si>
    <t>Corrected background Concentration
[µg/g dry soil]</t>
  </si>
  <si>
    <t>For plots where no sampling conducted, the median value for its nearest transect was assumed.</t>
  </si>
  <si>
    <t>North</t>
  </si>
  <si>
    <t>Transect Median (ommitting application and likely contamination)</t>
  </si>
  <si>
    <t>Talweg</t>
  </si>
  <si>
    <t>South</t>
  </si>
  <si>
    <t>(43?) Talweg?</t>
  </si>
  <si>
    <t>S-12</t>
  </si>
  <si>
    <t>N-1</t>
  </si>
  <si>
    <t>T-10</t>
  </si>
  <si>
    <t xml:space="preserve">Background concentrations were too low to accurately determine isotope signatures in these soils, therefore a theoretical maximum was assumed.  </t>
  </si>
  <si>
    <t>The theoretical maximum was computed based on Streitwieser Semiclassical Limits. For a degraded fraction of 0.95, the expected isotope signature based on Streitwieser Semiclassical Limits was -25.65.</t>
  </si>
  <si>
    <t>Maximum theoretical isotope signature</t>
  </si>
  <si>
    <t>Mass Fraction</t>
  </si>
  <si>
    <t>Dose [L/Ha]</t>
  </si>
  <si>
    <t>App. Mass [g]</t>
  </si>
  <si>
    <t>Conc. [g/L]</t>
  </si>
  <si>
    <t>g/Ha</t>
  </si>
  <si>
    <t>g</t>
  </si>
  <si>
    <t>g/L cuve</t>
  </si>
  <si>
    <t>L water/Ha</t>
  </si>
  <si>
    <t>Kopp is too low, Burger too high</t>
  </si>
  <si>
    <t>Looks like we need to re-prepare the cuve</t>
  </si>
  <si>
    <t>Signature</t>
  </si>
  <si>
    <t>10/10/16</t>
  </si>
  <si>
    <t>Burger_Cuve_DF1-2.dxf</t>
  </si>
  <si>
    <t>Burger_Cuve_DF1-3.dxf</t>
  </si>
  <si>
    <t>Burger_Cuve_DF1-3_.dxf</t>
  </si>
  <si>
    <t>Kopp_Cuve_DF1-1_.dxf</t>
  </si>
  <si>
    <t>Kopp_Cuve_DF1-2_.dxf</t>
  </si>
  <si>
    <t>Kopp_Cuve_DF1-3_.dxf</t>
  </si>
  <si>
    <t>10/11/16</t>
  </si>
  <si>
    <t>Burger_Cuve_DF1-11_.dxf</t>
  </si>
  <si>
    <t>Burger_Cuve_DF1-22_.dxf</t>
  </si>
  <si>
    <t>Burger_Cuve_DF1-33_.dxf</t>
  </si>
  <si>
    <t>Kopp_Cuve_DF1-11_.dxf</t>
  </si>
  <si>
    <t>Kopp_Cuve_DF1-22_.dxf</t>
  </si>
  <si>
    <t>Kopp_Cuve_DF1-33_.dxf</t>
  </si>
  <si>
    <t>06/09/16</t>
  </si>
  <si>
    <t>Mercantor_Gold_pur_50mgL-1_.dxf</t>
  </si>
  <si>
    <t>06/10/16</t>
  </si>
  <si>
    <t>Mercantor_Gold_pur_50mgL-2_.dxf</t>
  </si>
  <si>
    <t>10/03/16</t>
  </si>
  <si>
    <t>PureMerc-T1_.dxf</t>
  </si>
  <si>
    <t>PureMerc-T2_.dxf</t>
  </si>
  <si>
    <t>PureMerc-T3_.dxf</t>
  </si>
  <si>
    <t>Pure</t>
  </si>
  <si>
    <t>SD</t>
  </si>
  <si>
    <t>Ave1</t>
  </si>
  <si>
    <t>Ave2</t>
  </si>
  <si>
    <t>Pure ave pop</t>
  </si>
  <si>
    <t>Cuve averages pop</t>
  </si>
  <si>
    <t>Cuve averages Kopp</t>
  </si>
  <si>
    <t>Cuve averages Burger</t>
  </si>
  <si>
    <t>WeekSubWeek</t>
  </si>
  <si>
    <t>W0-1</t>
  </si>
  <si>
    <t>W0-2</t>
  </si>
  <si>
    <t>W0-3</t>
  </si>
  <si>
    <t>W1-1</t>
  </si>
  <si>
    <t>W1-2</t>
  </si>
  <si>
    <t>W1-3x</t>
  </si>
  <si>
    <t>W2-1</t>
  </si>
  <si>
    <t>W2-2</t>
  </si>
  <si>
    <t>W2-3x</t>
  </si>
  <si>
    <t>W3-1</t>
  </si>
  <si>
    <t>W3-2</t>
  </si>
  <si>
    <t>W3-2.1x</t>
  </si>
  <si>
    <t>W3-3</t>
  </si>
  <si>
    <t>W4-1</t>
  </si>
  <si>
    <t>W4-2x</t>
  </si>
  <si>
    <t>W5-1</t>
  </si>
  <si>
    <t>W5-2</t>
  </si>
  <si>
    <t>W5-3x</t>
  </si>
  <si>
    <t>W6-1</t>
  </si>
  <si>
    <t>W6-2</t>
  </si>
  <si>
    <t>W6-3</t>
  </si>
  <si>
    <t>W6-4</t>
  </si>
  <si>
    <t>W6-5x</t>
  </si>
  <si>
    <t>W7-1</t>
  </si>
  <si>
    <t>W7-2x</t>
  </si>
  <si>
    <t>W8-1</t>
  </si>
  <si>
    <t>W8-2x</t>
  </si>
  <si>
    <t>W9-1</t>
  </si>
  <si>
    <t>W9-2</t>
  </si>
  <si>
    <t>W9-3</t>
  </si>
  <si>
    <t>W9-4</t>
  </si>
  <si>
    <t>W10-1</t>
  </si>
  <si>
    <t>W10-2</t>
  </si>
  <si>
    <t>W10-3</t>
  </si>
  <si>
    <t>W10-4</t>
  </si>
  <si>
    <t>W10-5</t>
  </si>
  <si>
    <t>W11-1</t>
  </si>
  <si>
    <t>W11-2</t>
  </si>
  <si>
    <t>W11-3</t>
  </si>
  <si>
    <t>W12-1</t>
  </si>
  <si>
    <t>W12-2</t>
  </si>
  <si>
    <t>W12-3</t>
  </si>
  <si>
    <t>W12-4</t>
  </si>
  <si>
    <t>W13-1</t>
  </si>
  <si>
    <t>W13-2</t>
  </si>
  <si>
    <t>W13-3</t>
  </si>
  <si>
    <t>W14-1</t>
  </si>
  <si>
    <t>W15-1</t>
  </si>
  <si>
    <t>W0-0</t>
  </si>
  <si>
    <t>AveDischarge</t>
  </si>
  <si>
    <t>Volume</t>
  </si>
  <si>
    <t>Correction used</t>
  </si>
  <si>
    <t xml:space="preserve">Correction </t>
  </si>
  <si>
    <t>N-3</t>
  </si>
  <si>
    <t>N-5</t>
  </si>
  <si>
    <t>T-5</t>
  </si>
  <si>
    <t>C</t>
  </si>
  <si>
    <t>20cm</t>
  </si>
  <si>
    <t>T.M.</t>
  </si>
  <si>
    <t>C: likely contamination; T.M.: transect median; 20cm: Conc. at 20cm depth assumed</t>
  </si>
  <si>
    <t xml:space="preserve">Application </t>
  </si>
  <si>
    <t>Obs.  [µg/g dry soil]</t>
  </si>
  <si>
    <t>Corr. [µg/g dry soil]</t>
  </si>
  <si>
    <t>Dutt</t>
  </si>
  <si>
    <t>N-19</t>
  </si>
  <si>
    <t>Application Signatures</t>
  </si>
  <si>
    <t>Applications</t>
  </si>
  <si>
    <t>Background</t>
  </si>
  <si>
    <t>Pure ave</t>
  </si>
  <si>
    <t>Cuve ave</t>
  </si>
  <si>
    <t>NA</t>
  </si>
  <si>
    <t>Depth[m] =</t>
  </si>
  <si>
    <t>Soil Density (ρ)
[kg /m^3]  =</t>
  </si>
  <si>
    <t>T-17</t>
  </si>
  <si>
    <t>S-15</t>
  </si>
  <si>
    <t>T-43</t>
  </si>
  <si>
    <t>S-70</t>
  </si>
  <si>
    <t>Cuve ave Kopp</t>
  </si>
  <si>
    <t>Cuve ave Burger</t>
  </si>
  <si>
    <t>**Total Mass [g]**</t>
  </si>
  <si>
    <t>**\delta_{bulk_{app}}**</t>
  </si>
  <si>
    <t>**\delta_{bulk_{res}}**</t>
  </si>
  <si>
    <t>Check</t>
  </si>
  <si>
    <t>Product</t>
  </si>
  <si>
    <t>Schmitt</t>
  </si>
  <si>
    <r>
      <t>Backgr.Conc
[</t>
    </r>
    <r>
      <rPr>
        <sz val="11"/>
        <color theme="1"/>
        <rFont val="Calibri"/>
        <family val="2"/>
      </rPr>
      <t>µg/g dry soil]</t>
    </r>
  </si>
  <si>
    <t>App.Mass Fraction</t>
  </si>
  <si>
    <t>Backgr.Mass Fraction</t>
  </si>
  <si>
    <t>Backgr. Signature</t>
  </si>
  <si>
    <t>Backgr.Mass[g]</t>
  </si>
  <si>
    <t>Area[Ha]</t>
  </si>
  <si>
    <t>Prod.Conc.[g/L]</t>
  </si>
  <si>
    <t>Dose.[L/Ha]</t>
  </si>
  <si>
    <t>App.Mass.[g]</t>
  </si>
  <si>
    <t>Area.[m2]</t>
  </si>
  <si>
    <t>App.Date</t>
  </si>
  <si>
    <t>This section formats the Mass Aplied in Chronological order</t>
  </si>
  <si>
    <t>(added on: 13th)</t>
  </si>
  <si>
    <t>Tot mass</t>
  </si>
  <si>
    <t>Remaining as % of Total</t>
  </si>
  <si>
    <t xml:space="preserve"> </t>
  </si>
  <si>
    <t>Average</t>
  </si>
  <si>
    <t>Thi section sums all aplication by one date, then are added manually to 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</si>
</sst>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0"/>
    <numFmt numFmtId="165" formatCode="0.000"/>
    <numFmt numFmtId="166" formatCode="0.0"/>
    <numFmt numFmtId="169" formatCode="d/m/yy\ h:mm;@"/>
  </numFmts>
  <fonts count="9" x14ac:knownFonts="1">
    <font>
      <sz val="11"/>
      <color theme="1"/>
      <name val="Calibri"/>
      <family val="2"/>
      <scheme val="minor"/>
    </font>
    <font>
      <b/>
      <sz val="11"/>
      <color theme="1"/>
      <name val="Calibri"/>
      <family val="2"/>
      <scheme val="minor"/>
    </font>
    <font>
      <sz val="11"/>
      <color theme="1"/>
      <name val="Calibri"/>
      <family val="2"/>
    </font>
    <font>
      <b/>
      <sz val="11"/>
      <name val="Calibri"/>
      <family val="2"/>
      <scheme val="minor"/>
    </font>
    <font>
      <i/>
      <sz val="11"/>
      <name val="Calibri"/>
      <family val="2"/>
      <scheme val="minor"/>
    </font>
    <font>
      <i/>
      <sz val="11"/>
      <color theme="4" tint="-0.249977111117893"/>
      <name val="Calibri"/>
      <family val="2"/>
      <scheme val="minor"/>
    </font>
    <font>
      <sz val="11"/>
      <color indexed="8"/>
      <name val="Calibri"/>
      <family val="2"/>
    </font>
    <font>
      <sz val="11"/>
      <color theme="1"/>
      <name val="Calibri"/>
      <family val="2"/>
      <scheme val="minor"/>
    </font>
    <font>
      <sz val="9"/>
      <color theme="1"/>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tint="-0.49998474074526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xf numFmtId="9" fontId="7" fillId="0" borderId="0" applyFont="0" applyFill="0" applyBorder="0" applyAlignment="0" applyProtection="0"/>
  </cellStyleXfs>
  <cellXfs count="84">
    <xf numFmtId="0" fontId="0" fillId="0" borderId="0" xfId="0"/>
    <xf numFmtId="0" fontId="0" fillId="2" borderId="1" xfId="0" applyFill="1" applyBorder="1"/>
    <xf numFmtId="0" fontId="0" fillId="2" borderId="1" xfId="0" applyFill="1" applyBorder="1" applyAlignment="1">
      <alignment horizontal="center" vertical="center"/>
    </xf>
    <xf numFmtId="0" fontId="0" fillId="2" borderId="1" xfId="0" applyFill="1" applyBorder="1" applyAlignment="1">
      <alignment horizontal="center"/>
    </xf>
    <xf numFmtId="0" fontId="0" fillId="3" borderId="0" xfId="0" applyFill="1"/>
    <xf numFmtId="0" fontId="0" fillId="0" borderId="0" xfId="0" applyAlignment="1">
      <alignment horizontal="center" vertical="center"/>
    </xf>
    <xf numFmtId="0" fontId="0" fillId="0" borderId="0" xfId="0" applyAlignment="1">
      <alignment horizontal="center"/>
    </xf>
    <xf numFmtId="2" fontId="0" fillId="0" borderId="0" xfId="0" applyNumberFormat="1" applyAlignment="1">
      <alignment horizontal="center"/>
    </xf>
    <xf numFmtId="2" fontId="1" fillId="0" borderId="0" xfId="0" applyNumberFormat="1" applyFont="1" applyAlignment="1">
      <alignment horizontal="center"/>
    </xf>
    <xf numFmtId="14" fontId="0" fillId="0" borderId="0" xfId="0" applyNumberFormat="1" applyAlignment="1">
      <alignment horizontal="left"/>
    </xf>
    <xf numFmtId="0" fontId="0" fillId="0" borderId="0" xfId="0" applyAlignment="1">
      <alignment horizontal="left"/>
    </xf>
    <xf numFmtId="164" fontId="0" fillId="0" borderId="0" xfId="0" applyNumberFormat="1" applyAlignment="1">
      <alignment horizontal="right"/>
    </xf>
    <xf numFmtId="165" fontId="0" fillId="0" borderId="0" xfId="0" applyNumberFormat="1" applyAlignment="1">
      <alignment horizontal="right"/>
    </xf>
    <xf numFmtId="2" fontId="1" fillId="0" borderId="0" xfId="0" applyNumberFormat="1" applyFont="1" applyAlignment="1">
      <alignment horizontal="right"/>
    </xf>
    <xf numFmtId="165" fontId="1" fillId="0" borderId="0" xfId="0" applyNumberFormat="1" applyFont="1" applyAlignment="1">
      <alignment horizontal="right"/>
    </xf>
    <xf numFmtId="0" fontId="0" fillId="2" borderId="1" xfId="0" applyFill="1" applyBorder="1" applyAlignment="1">
      <alignment horizontal="center" vertical="center" wrapText="1"/>
    </xf>
    <xf numFmtId="0" fontId="0" fillId="2" borderId="1" xfId="0" applyFill="1" applyBorder="1" applyAlignment="1">
      <alignment horizontal="center" wrapText="1"/>
    </xf>
    <xf numFmtId="0" fontId="0" fillId="0" borderId="0" xfId="0" applyAlignment="1">
      <alignment wrapText="1"/>
    </xf>
    <xf numFmtId="0" fontId="0" fillId="0" borderId="0" xfId="0" applyFont="1"/>
    <xf numFmtId="0" fontId="1" fillId="0" borderId="0" xfId="0" applyFont="1"/>
    <xf numFmtId="0" fontId="1" fillId="0" borderId="0" xfId="0" applyFont="1" applyAlignment="1">
      <alignment horizontal="center"/>
    </xf>
    <xf numFmtId="0" fontId="0" fillId="2" borderId="2" xfId="0" applyFill="1" applyBorder="1"/>
    <xf numFmtId="0" fontId="0" fillId="0" borderId="0" xfId="0" quotePrefix="1" applyNumberFormat="1"/>
    <xf numFmtId="0" fontId="0" fillId="0" borderId="0" xfId="0" applyNumberFormat="1" applyFont="1" applyAlignment="1"/>
    <xf numFmtId="0" fontId="0" fillId="5" borderId="0" xfId="0" quotePrefix="1" applyNumberFormat="1" applyFill="1"/>
    <xf numFmtId="0" fontId="0" fillId="5" borderId="0" xfId="0" quotePrefix="1" applyNumberFormat="1" applyFill="1" applyAlignment="1">
      <alignment horizontal="right"/>
    </xf>
    <xf numFmtId="0" fontId="0" fillId="0" borderId="1" xfId="0" applyNumberFormat="1" applyFont="1" applyBorder="1" applyAlignment="1"/>
    <xf numFmtId="0" fontId="6" fillId="0" borderId="1" xfId="0" applyNumberFormat="1" applyFont="1" applyBorder="1" applyAlignment="1">
      <alignment horizontal="center"/>
    </xf>
    <xf numFmtId="0" fontId="6" fillId="0" borderId="1" xfId="0" applyNumberFormat="1" applyFont="1" applyBorder="1" applyAlignment="1"/>
    <xf numFmtId="0" fontId="0" fillId="0" borderId="1" xfId="0" applyNumberFormat="1" applyFont="1" applyBorder="1" applyAlignment="1">
      <alignment horizontal="center"/>
    </xf>
    <xf numFmtId="0" fontId="0" fillId="0" borderId="0" xfId="0" applyNumberFormat="1" applyFont="1" applyAlignment="1">
      <alignment horizontal="center"/>
    </xf>
    <xf numFmtId="0" fontId="6" fillId="0" borderId="0" xfId="0" applyNumberFormat="1" applyFont="1" applyAlignment="1"/>
    <xf numFmtId="0" fontId="0" fillId="0" borderId="0" xfId="0" applyNumberFormat="1" applyFont="1" applyAlignment="1">
      <alignment horizontal="center" vertical="center"/>
    </xf>
    <xf numFmtId="0" fontId="0" fillId="0" borderId="0" xfId="0" applyNumberFormat="1" applyFont="1" applyFill="1" applyBorder="1" applyAlignment="1">
      <alignment wrapText="1"/>
    </xf>
    <xf numFmtId="0" fontId="0" fillId="0" borderId="0" xfId="0" applyNumberFormat="1" applyFont="1" applyAlignment="1">
      <alignment wrapText="1"/>
    </xf>
    <xf numFmtId="165" fontId="0" fillId="0" borderId="0" xfId="0" applyNumberFormat="1" applyAlignment="1">
      <alignment horizontal="center"/>
    </xf>
    <xf numFmtId="0" fontId="0" fillId="6" borderId="0" xfId="0" applyFill="1"/>
    <xf numFmtId="0" fontId="0" fillId="6" borderId="0" xfId="0" applyFill="1" applyAlignment="1">
      <alignment horizontal="center"/>
    </xf>
    <xf numFmtId="0" fontId="1" fillId="6" borderId="0" xfId="0" applyFont="1" applyFill="1"/>
    <xf numFmtId="0" fontId="0" fillId="7" borderId="0" xfId="0" applyFill="1"/>
    <xf numFmtId="165" fontId="4" fillId="4" borderId="0" xfId="0" applyNumberFormat="1" applyFont="1" applyFill="1" applyBorder="1" applyAlignment="1">
      <alignment horizontal="center" vertical="center"/>
    </xf>
    <xf numFmtId="0" fontId="0" fillId="0" borderId="0" xfId="0" applyAlignment="1">
      <alignment horizontal="center" vertical="center" wrapText="1"/>
    </xf>
    <xf numFmtId="0" fontId="1" fillId="0" borderId="0" xfId="0" applyNumberFormat="1" applyFont="1" applyFill="1" applyBorder="1" applyAlignment="1">
      <alignment wrapText="1"/>
    </xf>
    <xf numFmtId="0" fontId="1" fillId="0" borderId="0" xfId="0" applyNumberFormat="1" applyFont="1" applyAlignment="1">
      <alignment horizontal="center"/>
    </xf>
    <xf numFmtId="0" fontId="0" fillId="0" borderId="3" xfId="0" quotePrefix="1" applyNumberFormat="1" applyBorder="1"/>
    <xf numFmtId="0" fontId="1" fillId="7" borderId="0" xfId="0" applyFont="1" applyFill="1" applyAlignment="1">
      <alignment horizontal="left"/>
    </xf>
    <xf numFmtId="0" fontId="0" fillId="6" borderId="0" xfId="0" applyFill="1" applyAlignment="1"/>
    <xf numFmtId="0" fontId="0" fillId="8" borderId="0" xfId="0" applyFill="1" applyAlignment="1">
      <alignment horizontal="center" vertical="center"/>
    </xf>
    <xf numFmtId="164" fontId="0" fillId="0" borderId="0" xfId="0" applyNumberFormat="1" applyAlignment="1">
      <alignment horizontal="center"/>
    </xf>
    <xf numFmtId="0" fontId="0" fillId="9" borderId="0" xfId="0" applyFill="1"/>
    <xf numFmtId="0" fontId="0" fillId="10" borderId="0" xfId="0" applyFill="1"/>
    <xf numFmtId="0" fontId="0" fillId="0" borderId="1" xfId="0" applyNumberFormat="1" applyFont="1" applyFill="1" applyBorder="1" applyAlignment="1"/>
    <xf numFmtId="0" fontId="0" fillId="0" borderId="1" xfId="0" applyBorder="1" applyAlignment="1">
      <alignment horizontal="center"/>
    </xf>
    <xf numFmtId="0" fontId="0" fillId="0" borderId="0" xfId="0" applyAlignment="1">
      <alignment horizontal="right"/>
    </xf>
    <xf numFmtId="165" fontId="1" fillId="9" borderId="0" xfId="0" applyNumberFormat="1" applyFont="1" applyFill="1" applyAlignment="1">
      <alignment horizontal="right"/>
    </xf>
    <xf numFmtId="164" fontId="0" fillId="9" borderId="0" xfId="0" applyNumberFormat="1" applyFill="1"/>
    <xf numFmtId="49" fontId="3" fillId="9" borderId="1" xfId="0" applyNumberFormat="1" applyFont="1" applyFill="1" applyBorder="1" applyAlignment="1">
      <alignment horizontal="center" vertical="center" wrapText="1"/>
    </xf>
    <xf numFmtId="49" fontId="3" fillId="9" borderId="0" xfId="0" applyNumberFormat="1" applyFont="1" applyFill="1" applyBorder="1" applyAlignment="1">
      <alignment horizontal="center" vertical="center" wrapText="1"/>
    </xf>
    <xf numFmtId="165" fontId="4" fillId="9" borderId="0" xfId="0" applyNumberFormat="1" applyFont="1" applyFill="1" applyAlignment="1">
      <alignment horizontal="center" vertical="center" wrapText="1"/>
    </xf>
    <xf numFmtId="0" fontId="0" fillId="9" borderId="0" xfId="0" applyFont="1" applyFill="1"/>
    <xf numFmtId="165" fontId="0" fillId="9" borderId="0" xfId="0" applyNumberFormat="1" applyFont="1" applyFill="1" applyAlignment="1">
      <alignment horizontal="center"/>
    </xf>
    <xf numFmtId="0" fontId="0" fillId="9" borderId="0" xfId="0" applyFill="1" applyAlignment="1">
      <alignment horizontal="center" vertical="center"/>
    </xf>
    <xf numFmtId="165" fontId="0" fillId="9" borderId="0" xfId="0" applyNumberFormat="1" applyFill="1" applyAlignment="1">
      <alignment horizontal="center"/>
    </xf>
    <xf numFmtId="2" fontId="0" fillId="9" borderId="0" xfId="0" applyNumberFormat="1" applyFill="1"/>
    <xf numFmtId="14" fontId="0" fillId="9" borderId="0" xfId="0" applyNumberFormat="1" applyFill="1" applyAlignment="1">
      <alignment horizontal="center" vertical="center"/>
    </xf>
    <xf numFmtId="165" fontId="5" fillId="9" borderId="0" xfId="0" applyNumberFormat="1" applyFont="1" applyFill="1" applyAlignment="1">
      <alignment horizontal="center"/>
    </xf>
    <xf numFmtId="0" fontId="0" fillId="9" borderId="0" xfId="0" applyFont="1" applyFill="1" applyAlignment="1">
      <alignment horizontal="center"/>
    </xf>
    <xf numFmtId="49" fontId="3" fillId="7" borderId="1" xfId="0" applyNumberFormat="1" applyFont="1" applyFill="1" applyBorder="1" applyAlignment="1">
      <alignment horizontal="center" vertical="center" wrapText="1"/>
    </xf>
    <xf numFmtId="49" fontId="3" fillId="7" borderId="0" xfId="0" applyNumberFormat="1" applyFont="1" applyFill="1" applyBorder="1" applyAlignment="1">
      <alignment horizontal="center" vertical="center" wrapText="1"/>
    </xf>
    <xf numFmtId="165" fontId="4" fillId="7" borderId="0" xfId="0" applyNumberFormat="1" applyFont="1" applyFill="1" applyAlignment="1">
      <alignment horizontal="center" vertical="center" wrapText="1"/>
    </xf>
    <xf numFmtId="0" fontId="0" fillId="7" borderId="1" xfId="0" applyFill="1" applyBorder="1" applyAlignment="1">
      <alignment wrapText="1"/>
    </xf>
    <xf numFmtId="0" fontId="0" fillId="7" borderId="1" xfId="0" applyFill="1" applyBorder="1" applyAlignment="1">
      <alignment horizontal="center" vertical="center" wrapText="1"/>
    </xf>
    <xf numFmtId="0" fontId="1" fillId="7" borderId="0" xfId="0" applyFont="1" applyFill="1"/>
    <xf numFmtId="164" fontId="0" fillId="7" borderId="0" xfId="0" applyNumberFormat="1" applyFill="1"/>
    <xf numFmtId="166" fontId="0" fillId="0" borderId="0" xfId="0" applyNumberFormat="1" applyAlignment="1">
      <alignment horizontal="center"/>
    </xf>
    <xf numFmtId="0" fontId="0" fillId="0" borderId="0" xfId="0" applyAlignment="1">
      <alignment horizontal="center" wrapText="1"/>
    </xf>
    <xf numFmtId="0" fontId="0" fillId="0" borderId="3" xfId="0" applyBorder="1" applyAlignment="1">
      <alignment horizontal="center" wrapText="1"/>
    </xf>
    <xf numFmtId="169" fontId="0" fillId="0" borderId="0" xfId="0" applyNumberFormat="1"/>
    <xf numFmtId="165" fontId="0" fillId="0" borderId="0" xfId="0" applyNumberFormat="1"/>
    <xf numFmtId="14" fontId="0" fillId="0" borderId="0" xfId="0" applyNumberFormat="1"/>
    <xf numFmtId="0" fontId="8" fillId="0" borderId="0" xfId="0" applyFont="1" applyAlignment="1">
      <alignment horizontal="center"/>
    </xf>
    <xf numFmtId="9" fontId="0" fillId="0" borderId="0" xfId="1" applyFont="1" applyAlignment="1">
      <alignment horizontal="center"/>
    </xf>
    <xf numFmtId="9" fontId="1" fillId="0" borderId="0" xfId="0" applyNumberFormat="1" applyFont="1" applyAlignment="1">
      <alignment horizontal="center"/>
    </xf>
    <xf numFmtId="9" fontId="0" fillId="0" borderId="3" xfId="1" applyFont="1" applyBorder="1"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75"/>
  <sheetViews>
    <sheetView tabSelected="1" topLeftCell="I1" workbookViewId="0">
      <selection activeCell="Z9" sqref="Z9"/>
    </sheetView>
  </sheetViews>
  <sheetFormatPr baseColWidth="10" defaultColWidth="9.140625" defaultRowHeight="15" x14ac:dyDescent="0.25"/>
  <cols>
    <col min="1" max="1" width="13.5703125" customWidth="1"/>
    <col min="2" max="2" width="12.85546875" customWidth="1"/>
    <col min="3" max="3" width="13.140625" bestFit="1" customWidth="1"/>
    <col min="4" max="4" width="13.7109375" bestFit="1" customWidth="1"/>
    <col min="5" max="5" width="10.7109375" bestFit="1" customWidth="1"/>
    <col min="6" max="6" width="9.7109375" bestFit="1" customWidth="1"/>
    <col min="7" max="7" width="15.28515625" bestFit="1" customWidth="1"/>
    <col min="8" max="8" width="12.85546875" customWidth="1"/>
    <col min="9" max="9" width="12" style="6" customWidth="1"/>
    <col min="10" max="10" width="15.85546875" style="6" bestFit="1" customWidth="1"/>
    <col min="12" max="12" width="12.42578125" customWidth="1"/>
    <col min="13" max="13" width="14.140625" customWidth="1"/>
    <col min="14" max="14" width="10.85546875" customWidth="1"/>
    <col min="15" max="15" width="14.85546875" customWidth="1"/>
    <col min="16" max="16" width="11.28515625" bestFit="1" customWidth="1"/>
    <col min="17" max="17" width="11.7109375" customWidth="1"/>
    <col min="18" max="18" width="12.85546875" customWidth="1"/>
    <col min="19" max="19" width="10.7109375" customWidth="1"/>
    <col min="20" max="20" width="13.140625" bestFit="1" customWidth="1"/>
    <col min="21" max="22" width="13.140625" customWidth="1"/>
    <col min="23" max="23" width="11.85546875" customWidth="1"/>
    <col min="25" max="25" width="17.28515625" customWidth="1"/>
    <col min="26" max="26" width="16.140625" customWidth="1"/>
  </cols>
  <sheetData>
    <row r="1" spans="1:26" x14ac:dyDescent="0.25">
      <c r="A1" s="46" t="s">
        <v>195</v>
      </c>
      <c r="B1" s="36"/>
      <c r="C1" s="37">
        <v>2200</v>
      </c>
      <c r="D1" s="36"/>
      <c r="E1" s="36"/>
      <c r="F1" s="38"/>
      <c r="G1" s="36"/>
      <c r="H1" s="36"/>
      <c r="I1" s="36"/>
      <c r="J1" s="38" t="s">
        <v>189</v>
      </c>
      <c r="K1" s="37"/>
      <c r="L1" s="37"/>
      <c r="M1" s="45"/>
      <c r="N1" s="39"/>
      <c r="O1" s="45" t="s">
        <v>190</v>
      </c>
      <c r="P1" s="39"/>
      <c r="Q1" s="39"/>
      <c r="W1" s="75" t="s">
        <v>219</v>
      </c>
      <c r="X1" s="75"/>
      <c r="Y1" s="75" t="s">
        <v>225</v>
      </c>
      <c r="Z1" s="75"/>
    </row>
    <row r="2" spans="1:26" x14ac:dyDescent="0.25">
      <c r="A2" s="36" t="s">
        <v>194</v>
      </c>
      <c r="B2" s="37">
        <v>0.03</v>
      </c>
      <c r="C2" s="37"/>
      <c r="D2" s="37"/>
      <c r="E2" s="36"/>
      <c r="F2" s="38"/>
      <c r="G2" s="36"/>
      <c r="H2" s="36"/>
      <c r="I2" s="36"/>
      <c r="J2" s="38"/>
      <c r="K2" s="37"/>
      <c r="L2" s="37"/>
      <c r="M2" s="45"/>
      <c r="N2" s="39"/>
      <c r="O2" s="39"/>
      <c r="P2" s="39"/>
      <c r="Q2" s="39"/>
      <c r="W2" s="76"/>
      <c r="X2" s="76"/>
      <c r="Y2" s="76"/>
      <c r="Z2" s="76"/>
    </row>
    <row r="3" spans="1:26" s="41" customFormat="1" ht="30" x14ac:dyDescent="0.25">
      <c r="A3" s="15" t="s">
        <v>15</v>
      </c>
      <c r="B3" s="15" t="s">
        <v>16</v>
      </c>
      <c r="C3" s="15" t="s">
        <v>17</v>
      </c>
      <c r="D3" s="15" t="s">
        <v>217</v>
      </c>
      <c r="E3" s="15" t="s">
        <v>218</v>
      </c>
      <c r="F3" s="15" t="s">
        <v>206</v>
      </c>
      <c r="G3" s="15" t="s">
        <v>214</v>
      </c>
      <c r="H3" s="15" t="s">
        <v>213</v>
      </c>
      <c r="I3" s="15" t="s">
        <v>215</v>
      </c>
      <c r="J3" s="15" t="s">
        <v>216</v>
      </c>
      <c r="K3" s="15" t="s">
        <v>91</v>
      </c>
      <c r="L3" s="15" t="s">
        <v>209</v>
      </c>
      <c r="M3" s="15" t="s">
        <v>208</v>
      </c>
      <c r="N3" s="15" t="s">
        <v>217</v>
      </c>
      <c r="O3" s="15" t="s">
        <v>212</v>
      </c>
      <c r="P3" s="15" t="s">
        <v>211</v>
      </c>
      <c r="Q3" s="15" t="s">
        <v>210</v>
      </c>
      <c r="R3" s="41" t="s">
        <v>205</v>
      </c>
      <c r="T3" s="41" t="s">
        <v>221</v>
      </c>
      <c r="U3" s="41" t="s">
        <v>222</v>
      </c>
      <c r="W3" s="15" t="s">
        <v>218</v>
      </c>
      <c r="X3" s="15" t="s">
        <v>216</v>
      </c>
      <c r="Y3" s="15" t="s">
        <v>218</v>
      </c>
      <c r="Z3" s="15" t="s">
        <v>216</v>
      </c>
    </row>
    <row r="4" spans="1:26" x14ac:dyDescent="0.25">
      <c r="A4" t="s">
        <v>10</v>
      </c>
      <c r="B4" t="s">
        <v>3</v>
      </c>
      <c r="C4" s="5" t="s">
        <v>76</v>
      </c>
      <c r="D4">
        <v>17140.800999999999</v>
      </c>
      <c r="E4" s="9">
        <v>42516</v>
      </c>
      <c r="F4" s="10" t="s">
        <v>20</v>
      </c>
      <c r="G4" s="74">
        <v>960</v>
      </c>
      <c r="H4" s="35">
        <v>1.71408</v>
      </c>
      <c r="I4" s="74">
        <v>1.2</v>
      </c>
      <c r="J4" s="35">
        <f>G4*H4*I4</f>
        <v>1974.6201599999999</v>
      </c>
      <c r="K4" s="7">
        <f>$B$42</f>
        <v>-31.300166666666666</v>
      </c>
      <c r="L4" s="35">
        <f>J4/$J$26</f>
        <v>0.10271383472503386</v>
      </c>
      <c r="M4" s="48">
        <f>R46</f>
        <v>2.3926327590946629E-2</v>
      </c>
      <c r="N4" s="7">
        <f t="shared" ref="N4:N23" si="0">D4</f>
        <v>17140.800999999999</v>
      </c>
      <c r="O4" s="35">
        <f t="shared" ref="O4:O24" si="1">M4*$C$1*$B$2*N4/10^3</f>
        <v>27.067683713216883</v>
      </c>
      <c r="P4" s="6">
        <v>-25.65</v>
      </c>
      <c r="Q4" s="35">
        <f t="shared" ref="Q4:Q24" si="2">O4/$O$26</f>
        <v>6.4130219858883314E-2</v>
      </c>
      <c r="R4" s="5" t="s">
        <v>76</v>
      </c>
      <c r="S4" t="str">
        <f t="shared" ref="S4:S24" si="3">IF(R4=C4,"OK")</f>
        <v>OK</v>
      </c>
      <c r="T4" s="78">
        <f>J4+O4</f>
        <v>2001.6878437132168</v>
      </c>
      <c r="U4" s="81">
        <f>O4/T4</f>
        <v>1.3522429982391844E-2</v>
      </c>
      <c r="W4" s="9">
        <v>42449</v>
      </c>
      <c r="X4" s="35">
        <v>2528.8300799999993</v>
      </c>
      <c r="Y4" s="77">
        <f>W4</f>
        <v>42449</v>
      </c>
      <c r="Z4" s="78">
        <f>SUM(X4:X8)</f>
        <v>6369.3964800000003</v>
      </c>
    </row>
    <row r="5" spans="1:26" x14ac:dyDescent="0.25">
      <c r="A5" t="s">
        <v>2</v>
      </c>
      <c r="B5" t="s">
        <v>4</v>
      </c>
      <c r="C5" s="5" t="s">
        <v>23</v>
      </c>
      <c r="D5">
        <v>43903.300999999999</v>
      </c>
      <c r="E5" s="9">
        <v>42449</v>
      </c>
      <c r="F5" s="10" t="s">
        <v>19</v>
      </c>
      <c r="G5" s="74">
        <v>960</v>
      </c>
      <c r="H5" s="35">
        <v>4.3903299999999996</v>
      </c>
      <c r="I5" s="74">
        <v>0.6</v>
      </c>
      <c r="J5" s="35">
        <f>G5*H5*I5</f>
        <v>2528.8300799999993</v>
      </c>
      <c r="K5" s="7">
        <f>$B$42</f>
        <v>-31.300166666666666</v>
      </c>
      <c r="L5" s="35">
        <f>J5/$J$26</f>
        <v>0.13154217714702865</v>
      </c>
      <c r="M5" s="48">
        <f>R47</f>
        <v>1.6182832150133653E-2</v>
      </c>
      <c r="N5" s="7">
        <f t="shared" si="0"/>
        <v>43903.300999999999</v>
      </c>
      <c r="O5" s="35">
        <f t="shared" si="1"/>
        <v>46.891663560706476</v>
      </c>
      <c r="P5" s="6">
        <v>-25.65</v>
      </c>
      <c r="Q5" s="35">
        <f t="shared" si="2"/>
        <v>0.11109826483706549</v>
      </c>
      <c r="R5" s="5" t="s">
        <v>23</v>
      </c>
      <c r="S5" t="str">
        <f t="shared" si="3"/>
        <v>OK</v>
      </c>
      <c r="T5" s="78">
        <f t="shared" ref="T5:T24" si="4">J5+O5</f>
        <v>2575.7217435607058</v>
      </c>
      <c r="U5" s="81">
        <f t="shared" ref="U5:U24" si="5">O5/T5</f>
        <v>1.8205252053307176E-2</v>
      </c>
      <c r="W5" s="9">
        <v>42449</v>
      </c>
      <c r="X5" s="35">
        <v>818.19647999999995</v>
      </c>
      <c r="Y5" s="77">
        <f>W9</f>
        <v>42465</v>
      </c>
      <c r="Z5" s="78">
        <f>X9</f>
        <v>3128.4748799999998</v>
      </c>
    </row>
    <row r="6" spans="1:26" x14ac:dyDescent="0.25">
      <c r="A6" t="s">
        <v>186</v>
      </c>
      <c r="B6" t="s">
        <v>3</v>
      </c>
      <c r="C6" s="6" t="s">
        <v>176</v>
      </c>
      <c r="D6">
        <v>29073.1</v>
      </c>
      <c r="E6" t="s">
        <v>193</v>
      </c>
      <c r="F6" t="s">
        <v>193</v>
      </c>
      <c r="G6" s="6">
        <v>0</v>
      </c>
      <c r="H6" s="35">
        <f>D6/10000</f>
        <v>2.9073099999999998</v>
      </c>
      <c r="I6" s="6">
        <v>0</v>
      </c>
      <c r="J6" s="6">
        <v>0</v>
      </c>
      <c r="K6" s="6" t="s">
        <v>193</v>
      </c>
      <c r="L6" s="6">
        <v>0</v>
      </c>
      <c r="M6" s="35">
        <f>R48</f>
        <v>3.4970807455924199E-3</v>
      </c>
      <c r="N6" s="7">
        <f t="shared" si="0"/>
        <v>29073.1</v>
      </c>
      <c r="O6" s="35">
        <f t="shared" si="1"/>
        <v>6.7102845628290764</v>
      </c>
      <c r="P6" s="6">
        <v>-25.65</v>
      </c>
      <c r="Q6" s="35">
        <f t="shared" si="2"/>
        <v>1.5898369025191927E-2</v>
      </c>
      <c r="R6" s="6" t="s">
        <v>176</v>
      </c>
      <c r="S6" t="str">
        <f t="shared" si="3"/>
        <v>OK</v>
      </c>
      <c r="T6" s="78">
        <f t="shared" si="4"/>
        <v>6.7102845628290764</v>
      </c>
      <c r="U6" s="81">
        <f t="shared" si="5"/>
        <v>1</v>
      </c>
      <c r="W6" s="9">
        <v>42449</v>
      </c>
      <c r="X6" s="35">
        <v>1252.8863999999999</v>
      </c>
      <c r="Y6" s="77">
        <f>W10</f>
        <v>42473</v>
      </c>
      <c r="Z6" s="78">
        <f>SUM(X10:X15,X16:X17)</f>
        <v>4744.571328</v>
      </c>
    </row>
    <row r="7" spans="1:26" x14ac:dyDescent="0.25">
      <c r="A7" s="50" t="s">
        <v>8</v>
      </c>
      <c r="B7" t="s">
        <v>4</v>
      </c>
      <c r="C7" s="5" t="s">
        <v>30</v>
      </c>
      <c r="D7">
        <v>9452.5</v>
      </c>
      <c r="E7" s="9">
        <v>42473</v>
      </c>
      <c r="F7" s="10" t="s">
        <v>19</v>
      </c>
      <c r="G7" s="74">
        <v>960</v>
      </c>
      <c r="H7" s="35">
        <v>0.94525099999999995</v>
      </c>
      <c r="I7" s="74">
        <v>0.6</v>
      </c>
      <c r="J7" s="35">
        <f>G7*H7*I7</f>
        <v>544.46457599999997</v>
      </c>
      <c r="K7" s="7">
        <f>$I$40</f>
        <v>-31.010666666666665</v>
      </c>
      <c r="L7" s="35">
        <f>J7/$J$26</f>
        <v>2.8321418774990951E-2</v>
      </c>
      <c r="M7" s="48">
        <f>R53</f>
        <v>8.28384463943296E-3</v>
      </c>
      <c r="N7" s="7">
        <f t="shared" si="0"/>
        <v>9452.5</v>
      </c>
      <c r="O7" s="35">
        <f t="shared" si="1"/>
        <v>5.1680007359798426</v>
      </c>
      <c r="P7" s="6">
        <v>-25.65</v>
      </c>
      <c r="Q7" s="35">
        <f t="shared" si="2"/>
        <v>1.2244306788150717E-2</v>
      </c>
      <c r="R7" s="5" t="s">
        <v>30</v>
      </c>
      <c r="S7" t="str">
        <f t="shared" si="3"/>
        <v>OK</v>
      </c>
      <c r="T7" s="78">
        <f t="shared" si="4"/>
        <v>549.6325767359798</v>
      </c>
      <c r="U7" s="81">
        <f t="shared" si="5"/>
        <v>9.402646339979101E-3</v>
      </c>
      <c r="W7" s="9">
        <v>42449</v>
      </c>
      <c r="X7" s="35">
        <v>865.30175999999994</v>
      </c>
      <c r="Y7" s="79">
        <f>W16</f>
        <v>42474</v>
      </c>
      <c r="Z7" s="80" t="s">
        <v>220</v>
      </c>
    </row>
    <row r="8" spans="1:26" x14ac:dyDescent="0.25">
      <c r="A8" t="s">
        <v>186</v>
      </c>
      <c r="B8" t="s">
        <v>3</v>
      </c>
      <c r="C8" s="5" t="s">
        <v>177</v>
      </c>
      <c r="D8">
        <v>8369.2001999999993</v>
      </c>
      <c r="E8" t="s">
        <v>193</v>
      </c>
      <c r="F8" t="s">
        <v>193</v>
      </c>
      <c r="G8" s="6">
        <v>0</v>
      </c>
      <c r="H8" s="35">
        <f>D8/10000</f>
        <v>0.83692001999999999</v>
      </c>
      <c r="I8" s="6">
        <v>0</v>
      </c>
      <c r="J8" s="6">
        <v>0</v>
      </c>
      <c r="K8" s="6" t="s">
        <v>193</v>
      </c>
      <c r="L8" s="6">
        <v>0</v>
      </c>
      <c r="M8" s="35">
        <f>R50</f>
        <v>5.3294195852720251E-2</v>
      </c>
      <c r="N8" s="7">
        <f t="shared" si="0"/>
        <v>8369.2001999999993</v>
      </c>
      <c r="O8" s="35">
        <f t="shared" si="1"/>
        <v>29.437966442902081</v>
      </c>
      <c r="P8" s="6">
        <v>-25.65</v>
      </c>
      <c r="Q8" s="35">
        <f t="shared" si="2"/>
        <v>6.9746021868133279E-2</v>
      </c>
      <c r="R8" s="5" t="s">
        <v>177</v>
      </c>
      <c r="S8" t="str">
        <f t="shared" si="3"/>
        <v>OK</v>
      </c>
      <c r="T8" s="78">
        <f t="shared" si="4"/>
        <v>29.437966442902081</v>
      </c>
      <c r="U8" s="81">
        <f t="shared" si="5"/>
        <v>1</v>
      </c>
      <c r="W8" s="9">
        <v>42449</v>
      </c>
      <c r="X8" s="35">
        <v>904.18176000000005</v>
      </c>
      <c r="Y8" s="77">
        <f>W18</f>
        <v>42516</v>
      </c>
      <c r="Z8" s="78">
        <f>SUM(X18:X21)</f>
        <v>4982.0382719999998</v>
      </c>
    </row>
    <row r="9" spans="1:26" x14ac:dyDescent="0.25">
      <c r="A9" s="50" t="s">
        <v>8</v>
      </c>
      <c r="B9" t="s">
        <v>4</v>
      </c>
      <c r="C9" s="5" t="s">
        <v>31</v>
      </c>
      <c r="D9">
        <v>13776.5</v>
      </c>
      <c r="E9" s="9">
        <v>42473</v>
      </c>
      <c r="F9" s="10" t="s">
        <v>19</v>
      </c>
      <c r="G9" s="74">
        <v>960</v>
      </c>
      <c r="H9" s="35">
        <v>1.37765</v>
      </c>
      <c r="I9" s="74">
        <v>0.6</v>
      </c>
      <c r="J9" s="35">
        <f>G9*H9*I9</f>
        <v>793.52640000000008</v>
      </c>
      <c r="K9" s="7">
        <f>$I$40</f>
        <v>-31.010666666666665</v>
      </c>
      <c r="L9" s="35">
        <f>J9/$J$26</f>
        <v>4.1276869926999589E-2</v>
      </c>
      <c r="M9" s="48">
        <f>R51</f>
        <v>8.4393367093206773E-3</v>
      </c>
      <c r="N9" s="7">
        <f t="shared" si="0"/>
        <v>13776.5</v>
      </c>
      <c r="O9" s="35">
        <f t="shared" si="1"/>
        <v>7.6734584636131169</v>
      </c>
      <c r="P9" s="6">
        <v>-25.65</v>
      </c>
      <c r="Q9" s="35">
        <f t="shared" si="2"/>
        <v>1.8180372711730418E-2</v>
      </c>
      <c r="R9" s="5" t="s">
        <v>31</v>
      </c>
      <c r="S9" t="str">
        <f t="shared" si="3"/>
        <v>OK</v>
      </c>
      <c r="T9" s="78">
        <f t="shared" si="4"/>
        <v>801.19985846361317</v>
      </c>
      <c r="U9" s="81">
        <f t="shared" si="5"/>
        <v>9.5774585860858713E-3</v>
      </c>
      <c r="W9" s="9">
        <v>42465</v>
      </c>
      <c r="X9" s="35">
        <v>3128.4748799999998</v>
      </c>
    </row>
    <row r="10" spans="1:26" x14ac:dyDescent="0.25">
      <c r="A10" s="50" t="s">
        <v>8</v>
      </c>
      <c r="B10" t="s">
        <v>4</v>
      </c>
      <c r="C10" s="5" t="s">
        <v>26</v>
      </c>
      <c r="D10">
        <v>17448.599999999999</v>
      </c>
      <c r="E10" s="9">
        <v>42473</v>
      </c>
      <c r="F10" s="10" t="s">
        <v>19</v>
      </c>
      <c r="G10" s="74">
        <v>960</v>
      </c>
      <c r="H10" s="35">
        <v>1.7448600000000001</v>
      </c>
      <c r="I10" s="74">
        <v>0.6</v>
      </c>
      <c r="J10" s="35">
        <f>G10*H10*I10</f>
        <v>1005.03936</v>
      </c>
      <c r="K10" s="7">
        <f>$I$40</f>
        <v>-31.010666666666665</v>
      </c>
      <c r="L10" s="35">
        <f>J10/$J$26</f>
        <v>5.22791414806551E-2</v>
      </c>
      <c r="M10" s="48">
        <f>R52</f>
        <v>6.5290964155009738E-3</v>
      </c>
      <c r="N10" s="7">
        <f t="shared" si="0"/>
        <v>17448.599999999999</v>
      </c>
      <c r="O10" s="35">
        <f t="shared" si="1"/>
        <v>7.5189570532236774</v>
      </c>
      <c r="P10" s="6">
        <v>-25.65</v>
      </c>
      <c r="Q10" s="35">
        <f t="shared" si="2"/>
        <v>1.7814319616025587E-2</v>
      </c>
      <c r="R10" s="5" t="s">
        <v>26</v>
      </c>
      <c r="S10" t="str">
        <f t="shared" si="3"/>
        <v>OK</v>
      </c>
      <c r="T10" s="78">
        <f t="shared" si="4"/>
        <v>1012.5583170532236</v>
      </c>
      <c r="U10" s="81">
        <f t="shared" si="5"/>
        <v>7.4257027240717975E-3</v>
      </c>
      <c r="W10" s="9">
        <v>42473</v>
      </c>
      <c r="X10" s="35">
        <v>544.46457599999997</v>
      </c>
    </row>
    <row r="11" spans="1:26" x14ac:dyDescent="0.25">
      <c r="A11" s="4" t="s">
        <v>11</v>
      </c>
      <c r="B11" t="s">
        <v>3</v>
      </c>
      <c r="C11" s="47" t="s">
        <v>187</v>
      </c>
      <c r="D11">
        <v>10682.2</v>
      </c>
      <c r="E11" s="9">
        <v>42516</v>
      </c>
      <c r="F11" s="10" t="s">
        <v>19</v>
      </c>
      <c r="G11" s="74">
        <v>960</v>
      </c>
      <c r="H11" s="35">
        <v>1.0682199999999999</v>
      </c>
      <c r="I11" s="74">
        <v>1.2</v>
      </c>
      <c r="J11" s="35">
        <f>G11*H11*I11</f>
        <v>1230.58944</v>
      </c>
      <c r="K11" s="7">
        <f>$B$42</f>
        <v>-31.300166666666666</v>
      </c>
      <c r="L11" s="35">
        <f>J11/$J$26</f>
        <v>6.4011582032329692E-2</v>
      </c>
      <c r="M11" s="48">
        <f>N30</f>
        <v>1.8293100230621178E-2</v>
      </c>
      <c r="N11" s="7">
        <f t="shared" si="0"/>
        <v>10682.2</v>
      </c>
      <c r="O11" s="35">
        <f t="shared" si="1"/>
        <v>12.897096648713744</v>
      </c>
      <c r="P11" s="6">
        <v>-25.65</v>
      </c>
      <c r="Q11" s="35">
        <f t="shared" si="2"/>
        <v>3.0556498752769813E-2</v>
      </c>
      <c r="R11" s="47" t="s">
        <v>187</v>
      </c>
      <c r="S11" t="str">
        <f t="shared" si="3"/>
        <v>OK</v>
      </c>
      <c r="T11" s="78">
        <f t="shared" si="4"/>
        <v>1243.4865366487138</v>
      </c>
      <c r="U11" s="81">
        <f t="shared" si="5"/>
        <v>1.0371721983795943E-2</v>
      </c>
      <c r="W11" s="9">
        <v>42473</v>
      </c>
      <c r="X11" s="35">
        <v>793.52640000000008</v>
      </c>
    </row>
    <row r="12" spans="1:26" x14ac:dyDescent="0.25">
      <c r="A12" s="50" t="s">
        <v>8</v>
      </c>
      <c r="B12" t="s">
        <v>4</v>
      </c>
      <c r="C12" s="5" t="s">
        <v>27</v>
      </c>
      <c r="D12">
        <v>2965.98</v>
      </c>
      <c r="E12" s="9">
        <v>42473</v>
      </c>
      <c r="F12" s="10" t="s">
        <v>19</v>
      </c>
      <c r="G12" s="74">
        <v>960</v>
      </c>
      <c r="H12" s="35">
        <v>0.29659799999999997</v>
      </c>
      <c r="I12" s="74">
        <v>0.6</v>
      </c>
      <c r="J12" s="35">
        <f>G12*H12*I12</f>
        <v>170.84044799999995</v>
      </c>
      <c r="K12" s="7">
        <f>$I$40</f>
        <v>-31.010666666666665</v>
      </c>
      <c r="L12" s="35">
        <f>J12/$J$26</f>
        <v>8.8866091290300299E-3</v>
      </c>
      <c r="M12" s="48">
        <f t="shared" ref="M12:M17" si="6">R53</f>
        <v>8.28384463943296E-3</v>
      </c>
      <c r="N12" s="7">
        <f t="shared" si="0"/>
        <v>2965.98</v>
      </c>
      <c r="O12" s="35">
        <f t="shared" si="1"/>
        <v>1.6216013565619143</v>
      </c>
      <c r="P12" s="6">
        <v>-25.65</v>
      </c>
      <c r="Q12" s="35">
        <f t="shared" si="2"/>
        <v>3.8419856172990496E-3</v>
      </c>
      <c r="R12" s="5" t="s">
        <v>27</v>
      </c>
      <c r="S12" t="str">
        <f t="shared" si="3"/>
        <v>OK</v>
      </c>
      <c r="T12" s="78">
        <f t="shared" si="4"/>
        <v>172.46204935656186</v>
      </c>
      <c r="U12" s="81">
        <f t="shared" si="5"/>
        <v>9.4026561937072053E-3</v>
      </c>
      <c r="W12" s="9">
        <v>42473</v>
      </c>
      <c r="X12" s="35">
        <v>1005.03936</v>
      </c>
      <c r="Y12" s="77"/>
    </row>
    <row r="13" spans="1:26" x14ac:dyDescent="0.25">
      <c r="A13" t="s">
        <v>186</v>
      </c>
      <c r="B13" t="s">
        <v>3</v>
      </c>
      <c r="C13" s="5" t="s">
        <v>178</v>
      </c>
      <c r="D13">
        <v>3360.51</v>
      </c>
      <c r="E13" t="s">
        <v>193</v>
      </c>
      <c r="F13" t="s">
        <v>193</v>
      </c>
      <c r="G13" s="6">
        <v>0</v>
      </c>
      <c r="H13" s="35">
        <f>D13/10000</f>
        <v>0.33605100000000004</v>
      </c>
      <c r="I13" s="6">
        <v>0</v>
      </c>
      <c r="J13" s="6">
        <v>0</v>
      </c>
      <c r="K13" s="6" t="s">
        <v>193</v>
      </c>
      <c r="L13" s="6">
        <v>0</v>
      </c>
      <c r="M13" s="35">
        <f t="shared" si="6"/>
        <v>4.8701375008149313E-2</v>
      </c>
      <c r="N13" s="7">
        <f t="shared" si="0"/>
        <v>3360.51</v>
      </c>
      <c r="O13" s="35">
        <f t="shared" si="1"/>
        <v>10.801656210089966</v>
      </c>
      <c r="P13" s="6">
        <v>-25.65</v>
      </c>
      <c r="Q13" s="35">
        <f t="shared" si="2"/>
        <v>2.5591867960792561E-2</v>
      </c>
      <c r="R13" s="5" t="s">
        <v>178</v>
      </c>
      <c r="S13" t="str">
        <f t="shared" si="3"/>
        <v>OK</v>
      </c>
      <c r="T13" s="78">
        <f t="shared" si="4"/>
        <v>10.801656210089966</v>
      </c>
      <c r="U13" s="81">
        <f t="shared" si="5"/>
        <v>1</v>
      </c>
      <c r="W13" s="9">
        <v>42473</v>
      </c>
      <c r="X13" s="35">
        <v>170.84044799999995</v>
      </c>
      <c r="Y13" s="77"/>
    </row>
    <row r="14" spans="1:26" x14ac:dyDescent="0.25">
      <c r="A14" s="50" t="s">
        <v>8</v>
      </c>
      <c r="B14" t="s">
        <v>4</v>
      </c>
      <c r="C14" s="5" t="s">
        <v>28</v>
      </c>
      <c r="D14">
        <v>5336.0801000000001</v>
      </c>
      <c r="E14" s="9">
        <v>42473</v>
      </c>
      <c r="F14" s="10" t="s">
        <v>19</v>
      </c>
      <c r="G14" s="74">
        <v>960</v>
      </c>
      <c r="H14" s="35">
        <v>0.53360799999999997</v>
      </c>
      <c r="I14" s="74">
        <v>0.6</v>
      </c>
      <c r="J14" s="35">
        <f t="shared" ref="J14:J24" si="7">G14*H14*I14</f>
        <v>307.35820799999999</v>
      </c>
      <c r="K14" s="7">
        <f>$I$40</f>
        <v>-31.010666666666665</v>
      </c>
      <c r="L14" s="35">
        <f t="shared" ref="L14:L24" si="8">J14/$J$26</f>
        <v>1.5987854685882767E-2</v>
      </c>
      <c r="M14" s="48">
        <f t="shared" si="6"/>
        <v>1.5554078707623875E-2</v>
      </c>
      <c r="N14" s="7">
        <f t="shared" si="0"/>
        <v>5336.0801000000001</v>
      </c>
      <c r="O14" s="35">
        <f t="shared" si="1"/>
        <v>5.4778554511286419</v>
      </c>
      <c r="P14" s="6">
        <v>-25.65</v>
      </c>
      <c r="Q14" s="35">
        <f t="shared" si="2"/>
        <v>1.2978431333765283E-2</v>
      </c>
      <c r="R14" s="5" t="s">
        <v>28</v>
      </c>
      <c r="S14" t="str">
        <f t="shared" si="3"/>
        <v>OK</v>
      </c>
      <c r="T14" s="78">
        <f t="shared" si="4"/>
        <v>312.83606345112861</v>
      </c>
      <c r="U14" s="81">
        <f t="shared" si="5"/>
        <v>1.7510306806377503E-2</v>
      </c>
      <c r="W14" s="9">
        <v>42473</v>
      </c>
      <c r="X14" s="35">
        <v>307.35820799999999</v>
      </c>
      <c r="Y14" s="77"/>
    </row>
    <row r="15" spans="1:26" x14ac:dyDescent="0.25">
      <c r="A15" s="50" t="s">
        <v>8</v>
      </c>
      <c r="B15" t="s">
        <v>4</v>
      </c>
      <c r="C15" s="5" t="s">
        <v>29</v>
      </c>
      <c r="D15">
        <v>7356.8301000000001</v>
      </c>
      <c r="E15" s="9">
        <v>42473</v>
      </c>
      <c r="F15" s="10" t="s">
        <v>19</v>
      </c>
      <c r="G15" s="74">
        <v>960</v>
      </c>
      <c r="H15" s="35">
        <v>0.73568299999999998</v>
      </c>
      <c r="I15" s="74">
        <v>0.6</v>
      </c>
      <c r="J15" s="35">
        <f t="shared" si="7"/>
        <v>423.75340799999998</v>
      </c>
      <c r="K15" s="7">
        <f>$I$40</f>
        <v>-31.010666666666665</v>
      </c>
      <c r="L15" s="35">
        <f t="shared" si="8"/>
        <v>2.2042384857187843E-2</v>
      </c>
      <c r="M15" s="48">
        <f t="shared" si="6"/>
        <v>1.8036078456431636E-2</v>
      </c>
      <c r="N15" s="7">
        <f t="shared" si="0"/>
        <v>7356.8301000000001</v>
      </c>
      <c r="O15" s="35">
        <f t="shared" si="1"/>
        <v>8.7574320816996956</v>
      </c>
      <c r="P15" s="6">
        <v>-25.65</v>
      </c>
      <c r="Q15" s="35">
        <f t="shared" si="2"/>
        <v>2.0748581620392146E-2</v>
      </c>
      <c r="R15" s="5" t="s">
        <v>29</v>
      </c>
      <c r="S15" t="str">
        <f t="shared" si="3"/>
        <v>OK</v>
      </c>
      <c r="T15" s="78">
        <f t="shared" si="4"/>
        <v>432.51084008169966</v>
      </c>
      <c r="U15" s="81">
        <f t="shared" si="5"/>
        <v>2.0247890388239632E-2</v>
      </c>
      <c r="W15" s="9">
        <v>42473</v>
      </c>
      <c r="X15" s="35">
        <v>423.75340799999998</v>
      </c>
      <c r="Y15" s="77"/>
    </row>
    <row r="16" spans="1:26" x14ac:dyDescent="0.25">
      <c r="A16" t="s">
        <v>2</v>
      </c>
      <c r="B16" t="s">
        <v>4</v>
      </c>
      <c r="C16" s="5" t="s">
        <v>22</v>
      </c>
      <c r="D16">
        <v>14204.8</v>
      </c>
      <c r="E16" s="9">
        <v>42449</v>
      </c>
      <c r="F16" s="10" t="s">
        <v>19</v>
      </c>
      <c r="G16" s="74">
        <v>960</v>
      </c>
      <c r="H16" s="35">
        <v>1.42048</v>
      </c>
      <c r="I16" s="74">
        <v>0.6</v>
      </c>
      <c r="J16" s="35">
        <f t="shared" si="7"/>
        <v>818.19647999999995</v>
      </c>
      <c r="K16" s="7">
        <f>$B$42</f>
        <v>-31.300166666666666</v>
      </c>
      <c r="L16" s="35">
        <f t="shared" si="8"/>
        <v>4.2560133701523874E-2</v>
      </c>
      <c r="M16" s="48">
        <f t="shared" si="6"/>
        <v>1.6211163083152666E-2</v>
      </c>
      <c r="N16" s="7">
        <f t="shared" si="0"/>
        <v>14204.8</v>
      </c>
      <c r="O16" s="35">
        <f t="shared" si="1"/>
        <v>15.19823773799542</v>
      </c>
      <c r="P16" s="6">
        <v>-25.65</v>
      </c>
      <c r="Q16" s="35">
        <f t="shared" si="2"/>
        <v>3.6008486648944536E-2</v>
      </c>
      <c r="R16" s="5" t="s">
        <v>22</v>
      </c>
      <c r="S16" t="str">
        <f t="shared" si="3"/>
        <v>OK</v>
      </c>
      <c r="T16" s="78">
        <f t="shared" si="4"/>
        <v>833.39471773799539</v>
      </c>
      <c r="U16" s="81">
        <f t="shared" si="5"/>
        <v>1.8236541958469046E-2</v>
      </c>
      <c r="W16" s="9">
        <v>42474</v>
      </c>
      <c r="X16" s="35">
        <v>67.128767999999994</v>
      </c>
      <c r="Y16" s="77"/>
    </row>
    <row r="17" spans="1:26" x14ac:dyDescent="0.25">
      <c r="A17" t="s">
        <v>207</v>
      </c>
      <c r="B17" t="s">
        <v>3</v>
      </c>
      <c r="C17" s="5" t="s">
        <v>77</v>
      </c>
      <c r="D17">
        <v>9383.6396000000004</v>
      </c>
      <c r="E17" s="9">
        <v>42516</v>
      </c>
      <c r="F17" s="10" t="s">
        <v>20</v>
      </c>
      <c r="G17" s="74">
        <v>960</v>
      </c>
      <c r="H17" s="35">
        <v>0.93836399999999998</v>
      </c>
      <c r="I17" s="74">
        <v>1.2</v>
      </c>
      <c r="J17" s="35">
        <f t="shared" si="7"/>
        <v>1080.995328</v>
      </c>
      <c r="K17" s="7">
        <f>$B$42</f>
        <v>-31.300166666666666</v>
      </c>
      <c r="L17" s="35">
        <f t="shared" si="8"/>
        <v>5.623014375520493E-2</v>
      </c>
      <c r="M17" s="48">
        <f t="shared" si="6"/>
        <v>1.6211163083152666E-2</v>
      </c>
      <c r="N17" s="7">
        <f t="shared" si="0"/>
        <v>9383.6396000000004</v>
      </c>
      <c r="O17" s="35">
        <f t="shared" si="1"/>
        <v>10.039900983362545</v>
      </c>
      <c r="P17" s="6">
        <v>-25.65</v>
      </c>
      <c r="Q17" s="35">
        <f t="shared" si="2"/>
        <v>2.3787076287952475E-2</v>
      </c>
      <c r="R17" s="5" t="s">
        <v>77</v>
      </c>
      <c r="S17" t="str">
        <f t="shared" si="3"/>
        <v>OK</v>
      </c>
      <c r="T17" s="78">
        <f t="shared" si="4"/>
        <v>1091.0352289833625</v>
      </c>
      <c r="U17" s="81">
        <f t="shared" si="5"/>
        <v>9.202178551757513E-3</v>
      </c>
      <c r="W17" s="9">
        <v>42474</v>
      </c>
      <c r="X17" s="35">
        <v>1432.4601599999999</v>
      </c>
      <c r="Y17" s="77"/>
    </row>
    <row r="18" spans="1:26" x14ac:dyDescent="0.25">
      <c r="A18" s="36" t="s">
        <v>9</v>
      </c>
      <c r="B18" t="s">
        <v>4</v>
      </c>
      <c r="C18" s="47" t="s">
        <v>196</v>
      </c>
      <c r="D18">
        <v>1165.4301</v>
      </c>
      <c r="E18" s="9">
        <v>42474</v>
      </c>
      <c r="F18" s="10" t="s">
        <v>19</v>
      </c>
      <c r="G18" s="74">
        <v>960</v>
      </c>
      <c r="H18" s="35">
        <v>0.11654299999999999</v>
      </c>
      <c r="I18" s="74">
        <v>0.6</v>
      </c>
      <c r="J18" s="35">
        <f t="shared" si="7"/>
        <v>67.128767999999994</v>
      </c>
      <c r="K18" s="7">
        <f>$I$37</f>
        <v>-31.58966666666667</v>
      </c>
      <c r="L18" s="35">
        <f t="shared" si="8"/>
        <v>3.4918377322994318E-3</v>
      </c>
      <c r="M18" s="48">
        <f>N31</f>
        <v>2.0499617162990518E-2</v>
      </c>
      <c r="N18" s="7">
        <f t="shared" si="0"/>
        <v>1165.4301</v>
      </c>
      <c r="O18" s="35">
        <f t="shared" si="1"/>
        <v>1.5767974780948999</v>
      </c>
      <c r="P18" s="6">
        <v>-25.65</v>
      </c>
      <c r="Q18" s="35">
        <f t="shared" si="2"/>
        <v>3.7358338457968089E-3</v>
      </c>
      <c r="R18" s="47" t="s">
        <v>196</v>
      </c>
      <c r="S18" t="str">
        <f t="shared" si="3"/>
        <v>OK</v>
      </c>
      <c r="T18" s="78">
        <f t="shared" si="4"/>
        <v>68.705565478094897</v>
      </c>
      <c r="U18" s="81">
        <f t="shared" si="5"/>
        <v>2.2950069141016292E-2</v>
      </c>
      <c r="W18" s="9">
        <v>42516</v>
      </c>
      <c r="X18" s="35">
        <v>1974.6201599999999</v>
      </c>
      <c r="Y18" s="77"/>
    </row>
    <row r="19" spans="1:26" x14ac:dyDescent="0.25">
      <c r="A19" t="s">
        <v>2</v>
      </c>
      <c r="B19" t="s">
        <v>4</v>
      </c>
      <c r="C19" s="47" t="s">
        <v>198</v>
      </c>
      <c r="D19">
        <v>21751.5</v>
      </c>
      <c r="E19" s="9">
        <v>42449</v>
      </c>
      <c r="F19" s="10" t="s">
        <v>19</v>
      </c>
      <c r="G19" s="74">
        <v>960</v>
      </c>
      <c r="H19" s="35">
        <v>2.1751499999999999</v>
      </c>
      <c r="I19" s="74">
        <v>0.6</v>
      </c>
      <c r="J19" s="35">
        <f t="shared" si="7"/>
        <v>1252.8863999999999</v>
      </c>
      <c r="K19" s="7">
        <f>$B$42</f>
        <v>-31.300166666666666</v>
      </c>
      <c r="L19" s="35">
        <f t="shared" si="8"/>
        <v>6.517140320234685E-2</v>
      </c>
      <c r="M19" s="48">
        <f>N31</f>
        <v>2.0499617162990518E-2</v>
      </c>
      <c r="N19" s="7">
        <f t="shared" si="0"/>
        <v>21751.5</v>
      </c>
      <c r="O19" s="35">
        <f t="shared" si="1"/>
        <v>29.429229899572018</v>
      </c>
      <c r="P19" s="6">
        <v>-25.65</v>
      </c>
      <c r="Q19" s="35">
        <f t="shared" si="2"/>
        <v>6.9725322777272752E-2</v>
      </c>
      <c r="R19" s="47" t="s">
        <v>198</v>
      </c>
      <c r="S19" t="str">
        <f t="shared" si="3"/>
        <v>OK</v>
      </c>
      <c r="T19" s="78">
        <f t="shared" si="4"/>
        <v>1282.3156298995718</v>
      </c>
      <c r="U19" s="81">
        <f t="shared" si="5"/>
        <v>2.2950067216974381E-2</v>
      </c>
      <c r="W19" s="9">
        <v>42516</v>
      </c>
      <c r="X19" s="35">
        <v>1230.58944</v>
      </c>
      <c r="Y19" s="77"/>
    </row>
    <row r="20" spans="1:26" x14ac:dyDescent="0.25">
      <c r="A20" t="s">
        <v>2</v>
      </c>
      <c r="B20" t="s">
        <v>4</v>
      </c>
      <c r="C20" s="5" t="s">
        <v>21</v>
      </c>
      <c r="D20">
        <v>15022.6</v>
      </c>
      <c r="E20" s="9">
        <v>42449</v>
      </c>
      <c r="F20" s="10" t="s">
        <v>19</v>
      </c>
      <c r="G20" s="74">
        <v>960</v>
      </c>
      <c r="H20" s="35">
        <v>1.5022599999999999</v>
      </c>
      <c r="I20" s="74">
        <v>0.6</v>
      </c>
      <c r="J20" s="35">
        <f t="shared" si="7"/>
        <v>865.30175999999994</v>
      </c>
      <c r="K20" s="7">
        <f>$B$42</f>
        <v>-31.300166666666666</v>
      </c>
      <c r="L20" s="35">
        <f t="shared" si="8"/>
        <v>4.5010409477395853E-2</v>
      </c>
      <c r="M20" s="48">
        <f>R59</f>
        <v>3.9399324434441815E-2</v>
      </c>
      <c r="N20" s="7">
        <f t="shared" si="0"/>
        <v>15022.6</v>
      </c>
      <c r="O20" s="35">
        <f t="shared" si="1"/>
        <v>39.064099222423806</v>
      </c>
      <c r="P20" s="6">
        <v>-25.65</v>
      </c>
      <c r="Q20" s="35">
        <f t="shared" si="2"/>
        <v>9.2552776154245217E-2</v>
      </c>
      <c r="R20" s="5" t="s">
        <v>21</v>
      </c>
      <c r="S20" t="str">
        <f t="shared" si="3"/>
        <v>OK</v>
      </c>
      <c r="T20" s="78">
        <f t="shared" si="4"/>
        <v>904.36585922242375</v>
      </c>
      <c r="U20" s="81">
        <f t="shared" si="5"/>
        <v>4.3195017618213968E-2</v>
      </c>
      <c r="W20" s="9">
        <v>42516</v>
      </c>
      <c r="X20" s="35">
        <v>1080.995328</v>
      </c>
      <c r="Y20" s="77"/>
    </row>
    <row r="21" spans="1:26" x14ac:dyDescent="0.25">
      <c r="A21" s="4" t="s">
        <v>5</v>
      </c>
      <c r="B21" t="s">
        <v>4</v>
      </c>
      <c r="C21" s="5" t="s">
        <v>6</v>
      </c>
      <c r="D21">
        <v>54313.800999999999</v>
      </c>
      <c r="E21" s="9">
        <v>42465</v>
      </c>
      <c r="F21" s="10" t="s">
        <v>18</v>
      </c>
      <c r="G21" s="74">
        <v>960</v>
      </c>
      <c r="H21" s="35">
        <v>5.4313799999999999</v>
      </c>
      <c r="I21" s="74">
        <v>0.6</v>
      </c>
      <c r="J21" s="35">
        <f t="shared" si="7"/>
        <v>3128.4748799999998</v>
      </c>
      <c r="K21" s="7">
        <f>$B$42</f>
        <v>-31.300166666666666</v>
      </c>
      <c r="L21" s="35">
        <f t="shared" si="8"/>
        <v>0.16273390613298516</v>
      </c>
      <c r="M21" s="48">
        <f>R60</f>
        <v>2.0615345325742124E-2</v>
      </c>
      <c r="N21" s="7">
        <f t="shared" si="0"/>
        <v>54313.800999999999</v>
      </c>
      <c r="O21" s="35">
        <f t="shared" si="1"/>
        <v>73.900052395530082</v>
      </c>
      <c r="P21" s="6">
        <v>-25.65</v>
      </c>
      <c r="Q21" s="35">
        <f t="shared" si="2"/>
        <v>0.17508800006386296</v>
      </c>
      <c r="R21" s="5" t="s">
        <v>6</v>
      </c>
      <c r="S21" t="str">
        <f t="shared" si="3"/>
        <v>OK</v>
      </c>
      <c r="T21" s="78">
        <f t="shared" si="4"/>
        <v>3202.3749323955299</v>
      </c>
      <c r="U21" s="81">
        <f t="shared" si="5"/>
        <v>2.3076639667626082E-2</v>
      </c>
      <c r="W21" s="9">
        <v>42516</v>
      </c>
      <c r="X21" s="35">
        <v>695.8333439999999</v>
      </c>
      <c r="Y21" s="77"/>
    </row>
    <row r="22" spans="1:26" x14ac:dyDescent="0.25">
      <c r="A22" s="36" t="s">
        <v>9</v>
      </c>
      <c r="B22" t="s">
        <v>4</v>
      </c>
      <c r="C22" s="5" t="s">
        <v>25</v>
      </c>
      <c r="D22">
        <v>24869.1</v>
      </c>
      <c r="E22" s="9">
        <v>42474</v>
      </c>
      <c r="F22" s="10" t="s">
        <v>19</v>
      </c>
      <c r="G22" s="74">
        <v>960</v>
      </c>
      <c r="H22" s="35">
        <v>2.48691</v>
      </c>
      <c r="I22" s="74">
        <v>0.6</v>
      </c>
      <c r="J22" s="35">
        <f t="shared" si="7"/>
        <v>1432.4601599999999</v>
      </c>
      <c r="K22" s="7">
        <f>$I$37</f>
        <v>-31.58966666666667</v>
      </c>
      <c r="L22" s="35">
        <f t="shared" si="8"/>
        <v>7.4512293100681984E-2</v>
      </c>
      <c r="M22" s="48">
        <f>R61</f>
        <v>2.5543048876060039E-2</v>
      </c>
      <c r="N22" s="7">
        <f t="shared" si="0"/>
        <v>24869.1</v>
      </c>
      <c r="O22" s="35">
        <f t="shared" si="1"/>
        <v>41.925354029039227</v>
      </c>
      <c r="P22" s="6">
        <v>-25.65</v>
      </c>
      <c r="Q22" s="35">
        <f t="shared" si="2"/>
        <v>9.9331815756031908E-2</v>
      </c>
      <c r="R22" s="5" t="s">
        <v>25</v>
      </c>
      <c r="S22" t="str">
        <f t="shared" si="3"/>
        <v>OK</v>
      </c>
      <c r="T22" s="78">
        <f t="shared" si="4"/>
        <v>1474.3855140290391</v>
      </c>
      <c r="U22" s="81">
        <f t="shared" si="5"/>
        <v>2.8435815212583183E-2</v>
      </c>
      <c r="Y22" s="77"/>
    </row>
    <row r="23" spans="1:26" x14ac:dyDescent="0.25">
      <c r="A23" s="4" t="s">
        <v>2</v>
      </c>
      <c r="B23" t="s">
        <v>3</v>
      </c>
      <c r="C23" s="47" t="s">
        <v>197</v>
      </c>
      <c r="D23">
        <v>15697.6</v>
      </c>
      <c r="E23" s="9">
        <v>42449</v>
      </c>
      <c r="F23" s="10" t="s">
        <v>19</v>
      </c>
      <c r="G23" s="74">
        <v>960</v>
      </c>
      <c r="H23" s="35">
        <v>1.56976</v>
      </c>
      <c r="I23" s="74">
        <v>0.6</v>
      </c>
      <c r="J23" s="35">
        <f t="shared" si="7"/>
        <v>904.18176000000005</v>
      </c>
      <c r="K23" s="7">
        <f>$B$42</f>
        <v>-31.300166666666666</v>
      </c>
      <c r="L23" s="35">
        <f t="shared" si="8"/>
        <v>4.7032830789102364E-2</v>
      </c>
      <c r="M23" s="48">
        <f>N32</f>
        <v>2.851923954541466E-2</v>
      </c>
      <c r="N23" s="7">
        <f t="shared" si="0"/>
        <v>15697.6</v>
      </c>
      <c r="O23" s="35">
        <f t="shared" si="1"/>
        <v>29.547118569414675</v>
      </c>
      <c r="P23" s="6">
        <v>-25.65</v>
      </c>
      <c r="Q23" s="35">
        <f t="shared" si="2"/>
        <v>7.0004630988347694E-2</v>
      </c>
      <c r="R23" s="47" t="s">
        <v>197</v>
      </c>
      <c r="S23" t="str">
        <f t="shared" si="3"/>
        <v>OK</v>
      </c>
      <c r="T23" s="78">
        <f t="shared" si="4"/>
        <v>933.72887856941475</v>
      </c>
      <c r="U23" s="81">
        <f t="shared" si="5"/>
        <v>3.1644216268307372E-2</v>
      </c>
      <c r="Y23" s="77"/>
    </row>
    <row r="24" spans="1:26" x14ac:dyDescent="0.25">
      <c r="A24" t="s">
        <v>10</v>
      </c>
      <c r="B24" t="s">
        <v>3</v>
      </c>
      <c r="C24" s="47" t="s">
        <v>199</v>
      </c>
      <c r="D24">
        <v>6040.2201999999997</v>
      </c>
      <c r="E24" s="9">
        <v>42516</v>
      </c>
      <c r="F24" s="10" t="s">
        <v>20</v>
      </c>
      <c r="G24" s="74">
        <v>960</v>
      </c>
      <c r="H24" s="35">
        <v>0.60402199999999995</v>
      </c>
      <c r="I24" s="74">
        <v>1.2</v>
      </c>
      <c r="J24" s="35">
        <f t="shared" si="7"/>
        <v>695.8333439999999</v>
      </c>
      <c r="K24" s="7">
        <f>$B$42</f>
        <v>-31.300166666666666</v>
      </c>
      <c r="L24" s="35">
        <f t="shared" si="8"/>
        <v>3.6195169349321148E-2</v>
      </c>
      <c r="M24" s="48">
        <f>N32</f>
        <v>2.851923954541466E-2</v>
      </c>
      <c r="N24" s="7">
        <v>6040.2201999999997</v>
      </c>
      <c r="O24" s="35">
        <f t="shared" si="1"/>
        <v>11.36932412819626</v>
      </c>
      <c r="P24" s="6">
        <v>-25.65</v>
      </c>
      <c r="Q24" s="35">
        <f t="shared" si="2"/>
        <v>2.6936817487346072E-2</v>
      </c>
      <c r="R24" s="47" t="s">
        <v>199</v>
      </c>
      <c r="S24" t="str">
        <f t="shared" si="3"/>
        <v>OK</v>
      </c>
      <c r="T24" s="78">
        <f t="shared" si="4"/>
        <v>707.20266812819614</v>
      </c>
      <c r="U24" s="83">
        <f t="shared" si="5"/>
        <v>1.6076472333296284E-2</v>
      </c>
      <c r="Y24" s="77"/>
    </row>
    <row r="25" spans="1:26" x14ac:dyDescent="0.25">
      <c r="U25" s="82">
        <f>AVERAGE(U4:U5,U7,U9:U12,U14:U24)</f>
        <v>1.8412949057011123E-2</v>
      </c>
      <c r="V25" t="s">
        <v>224</v>
      </c>
    </row>
    <row r="26" spans="1:26" x14ac:dyDescent="0.25">
      <c r="I26" s="53" t="s">
        <v>202</v>
      </c>
      <c r="J26" s="13">
        <f>SUM(J4:J24)</f>
        <v>19224.480959999997</v>
      </c>
      <c r="N26" s="53" t="s">
        <v>202</v>
      </c>
      <c r="O26" s="13">
        <f>SUM(O4:O24)</f>
        <v>422.07377072429404</v>
      </c>
    </row>
    <row r="27" spans="1:26" x14ac:dyDescent="0.25">
      <c r="C27" s="5"/>
      <c r="E27" s="9"/>
      <c r="F27" s="10"/>
      <c r="G27" s="12"/>
      <c r="H27" s="12"/>
      <c r="I27" s="12" t="s">
        <v>203</v>
      </c>
      <c r="K27" s="14">
        <f>K4*L4+K5*L5+K7*L7+K9*(L9+L10)+K11*L11+K12*L12+K14*(L14+L15)+K16*(L16+L17)+K18*(L18)+K19*(L19+L20+L21)+K22*(L22)+K23*(L23+L24)</f>
        <v>-31.273882918814365</v>
      </c>
      <c r="L27" s="7"/>
      <c r="M27" s="11"/>
      <c r="N27" s="12" t="s">
        <v>204</v>
      </c>
      <c r="P27" s="19">
        <f>P24*SUM(Q4:Q24)</f>
        <v>-25.65</v>
      </c>
      <c r="Q27" s="35"/>
      <c r="V27" t="s">
        <v>223</v>
      </c>
    </row>
    <row r="28" spans="1:26" x14ac:dyDescent="0.25">
      <c r="A28" t="s">
        <v>188</v>
      </c>
      <c r="G28" s="6"/>
      <c r="J28" s="8"/>
      <c r="N28" s="20"/>
      <c r="O28" s="14"/>
    </row>
    <row r="29" spans="1:26" x14ac:dyDescent="0.25">
      <c r="M29" s="72" t="s">
        <v>71</v>
      </c>
      <c r="N29" s="39"/>
      <c r="O29" s="39"/>
      <c r="P29" s="39"/>
      <c r="Q29" s="39"/>
      <c r="R29" s="49"/>
      <c r="S29" s="49"/>
      <c r="T29" s="54"/>
      <c r="U29" s="54"/>
      <c r="V29" s="54"/>
      <c r="W29" s="49"/>
      <c r="X29" s="49"/>
      <c r="Y29" s="49"/>
      <c r="Z29" s="49"/>
    </row>
    <row r="30" spans="1:26" x14ac:dyDescent="0.25">
      <c r="A30" s="22" t="s">
        <v>92</v>
      </c>
      <c r="B30" s="22" t="s">
        <v>93</v>
      </c>
      <c r="C30" s="22">
        <v>-32.191000000000003</v>
      </c>
      <c r="M30" s="72" t="s">
        <v>70</v>
      </c>
      <c r="N30" s="73">
        <f>AVERAGE(R46:R52)</f>
        <v>1.8293100230621178E-2</v>
      </c>
      <c r="O30" s="39"/>
      <c r="P30" s="39"/>
      <c r="Q30" s="39"/>
      <c r="R30" s="49"/>
      <c r="S30" s="49"/>
      <c r="T30" s="49"/>
      <c r="U30" s="49"/>
      <c r="V30" s="49"/>
      <c r="W30" s="49"/>
      <c r="X30" s="49"/>
      <c r="Y30" s="49"/>
      <c r="Z30" s="49"/>
    </row>
    <row r="31" spans="1:26" x14ac:dyDescent="0.25">
      <c r="A31" s="22" t="s">
        <v>92</v>
      </c>
      <c r="B31" s="22" t="s">
        <v>94</v>
      </c>
      <c r="C31" s="22">
        <v>-31.920999999999999</v>
      </c>
      <c r="M31" s="72" t="s">
        <v>72</v>
      </c>
      <c r="N31" s="73">
        <f>AVERAGE(R53:R58)</f>
        <v>2.0499617162990518E-2</v>
      </c>
      <c r="O31" s="39"/>
      <c r="P31" s="39"/>
      <c r="Q31" s="39"/>
      <c r="R31" s="49"/>
      <c r="S31" s="49"/>
      <c r="T31" s="49"/>
      <c r="U31" s="49"/>
      <c r="V31" s="49"/>
      <c r="W31" s="49"/>
      <c r="X31" s="49"/>
      <c r="Y31" s="49"/>
      <c r="Z31" s="49"/>
    </row>
    <row r="32" spans="1:26" x14ac:dyDescent="0.25">
      <c r="A32" s="22" t="s">
        <v>92</v>
      </c>
      <c r="B32" s="22" t="s">
        <v>95</v>
      </c>
      <c r="C32" s="22">
        <v>-31.635999999999999</v>
      </c>
      <c r="M32" s="72" t="s">
        <v>73</v>
      </c>
      <c r="N32" s="73">
        <f>AVERAGE(R59:R61)</f>
        <v>2.851923954541466E-2</v>
      </c>
      <c r="O32" s="39"/>
      <c r="P32" s="39"/>
      <c r="Q32" s="39"/>
      <c r="R32" s="49"/>
      <c r="S32" s="49"/>
      <c r="T32" s="49"/>
      <c r="U32" s="49"/>
      <c r="V32" s="49"/>
      <c r="W32" s="49"/>
      <c r="X32" s="49"/>
      <c r="Y32" s="49"/>
      <c r="Z32" s="49"/>
    </row>
    <row r="33" spans="1:37" x14ac:dyDescent="0.25">
      <c r="A33" s="22" t="s">
        <v>92</v>
      </c>
      <c r="B33" s="22" t="s">
        <v>96</v>
      </c>
      <c r="C33" s="22">
        <v>-31.654</v>
      </c>
      <c r="M33" s="39"/>
      <c r="N33" s="39"/>
      <c r="O33" s="39"/>
      <c r="P33" s="39"/>
      <c r="Q33" s="39"/>
      <c r="R33" s="49"/>
      <c r="S33" s="49"/>
      <c r="T33" s="49"/>
      <c r="U33" s="49"/>
      <c r="V33" s="49"/>
      <c r="W33" s="49"/>
      <c r="X33" s="49"/>
      <c r="Y33" s="49"/>
      <c r="Z33" s="49"/>
    </row>
    <row r="34" spans="1:37" x14ac:dyDescent="0.25">
      <c r="A34" s="22" t="s">
        <v>92</v>
      </c>
      <c r="B34" s="22" t="s">
        <v>97</v>
      </c>
      <c r="C34" s="22">
        <v>-31.384</v>
      </c>
      <c r="M34" s="49"/>
      <c r="N34" s="49"/>
      <c r="O34" s="49"/>
      <c r="P34" s="49"/>
      <c r="Q34" s="49"/>
      <c r="R34" s="49"/>
      <c r="S34" s="49"/>
      <c r="T34" s="49"/>
      <c r="U34" s="49"/>
      <c r="V34" s="49"/>
      <c r="W34" s="49"/>
      <c r="X34" s="49"/>
      <c r="Y34" s="49"/>
      <c r="Z34" s="49"/>
    </row>
    <row r="35" spans="1:37" x14ac:dyDescent="0.25">
      <c r="A35" s="22" t="s">
        <v>92</v>
      </c>
      <c r="B35" s="22" t="s">
        <v>98</v>
      </c>
      <c r="C35" s="22">
        <v>-31.241</v>
      </c>
      <c r="E35" s="26"/>
      <c r="F35" s="27" t="s">
        <v>9</v>
      </c>
      <c r="G35" s="27" t="s">
        <v>115</v>
      </c>
      <c r="M35" s="49" t="s">
        <v>62</v>
      </c>
      <c r="N35" s="49"/>
      <c r="O35" s="49"/>
      <c r="P35" s="49"/>
      <c r="Q35" s="49"/>
      <c r="R35" s="49"/>
      <c r="S35" s="49"/>
      <c r="T35" s="49"/>
      <c r="U35" s="49"/>
      <c r="V35" s="49"/>
      <c r="W35" s="49"/>
      <c r="X35" s="49"/>
      <c r="Y35" s="49"/>
      <c r="Z35" s="49"/>
    </row>
    <row r="36" spans="1:37" x14ac:dyDescent="0.25">
      <c r="A36" s="22" t="s">
        <v>99</v>
      </c>
      <c r="B36" s="22" t="s">
        <v>100</v>
      </c>
      <c r="C36" s="22">
        <v>-31.405000000000001</v>
      </c>
      <c r="E36" s="28" t="s">
        <v>116</v>
      </c>
      <c r="F36" s="29">
        <f>AVERAGE(C30:C32)</f>
        <v>-31.915999999999997</v>
      </c>
      <c r="G36" s="29">
        <f>STDEVA(C30:C32)</f>
        <v>0.27753378172755999</v>
      </c>
      <c r="I36" s="51" t="s">
        <v>201</v>
      </c>
      <c r="J36" s="52"/>
      <c r="M36" s="49" t="s">
        <v>64</v>
      </c>
      <c r="N36" s="49"/>
      <c r="O36" s="49"/>
      <c r="P36" s="49"/>
      <c r="Q36" s="49"/>
      <c r="R36" s="49"/>
      <c r="S36" s="49"/>
      <c r="T36" s="49"/>
      <c r="U36" s="49"/>
      <c r="V36" s="49"/>
      <c r="W36" s="49"/>
      <c r="X36" s="49"/>
      <c r="Y36" s="49"/>
      <c r="Z36" s="49"/>
    </row>
    <row r="37" spans="1:37" x14ac:dyDescent="0.25">
      <c r="A37" s="22" t="s">
        <v>99</v>
      </c>
      <c r="B37" s="22" t="s">
        <v>101</v>
      </c>
      <c r="C37" s="22">
        <v>-31.274999999999999</v>
      </c>
      <c r="E37" s="28" t="s">
        <v>117</v>
      </c>
      <c r="F37" s="29">
        <f>AVERAGE(C36:C38)</f>
        <v>-31.263333333333332</v>
      </c>
      <c r="G37" s="29">
        <f>STDEVA(C36:C38)</f>
        <v>0.14784564022430138</v>
      </c>
      <c r="I37" s="29">
        <f>AVERAGE(C30:C32,C36:C38)</f>
        <v>-31.58966666666667</v>
      </c>
      <c r="J37" s="29">
        <f>STDEVA(C30:C32,C36:C38)</f>
        <v>0.40907880251446344</v>
      </c>
      <c r="M37" s="49" t="s">
        <v>67</v>
      </c>
      <c r="N37" s="49"/>
      <c r="O37" s="49"/>
      <c r="P37" s="49"/>
      <c r="Q37" s="49"/>
      <c r="R37" s="49"/>
      <c r="S37" s="49"/>
      <c r="T37" s="49"/>
      <c r="U37" s="49"/>
      <c r="V37" s="49"/>
      <c r="W37" s="49"/>
      <c r="X37" s="49"/>
      <c r="Y37" s="49"/>
      <c r="Z37" s="49"/>
    </row>
    <row r="38" spans="1:37" x14ac:dyDescent="0.25">
      <c r="A38" s="22" t="s">
        <v>99</v>
      </c>
      <c r="B38" s="22" t="s">
        <v>102</v>
      </c>
      <c r="C38" s="22">
        <v>-31.11</v>
      </c>
      <c r="M38" s="49" t="s">
        <v>69</v>
      </c>
      <c r="N38" s="49"/>
      <c r="O38" s="49"/>
      <c r="P38" s="49"/>
      <c r="Q38" s="49"/>
      <c r="R38" s="49"/>
      <c r="S38" s="49"/>
      <c r="T38" s="49"/>
      <c r="U38" s="49"/>
      <c r="V38" s="49"/>
      <c r="W38" s="49"/>
      <c r="X38" s="49"/>
      <c r="Y38" s="49"/>
      <c r="Z38" s="49"/>
    </row>
    <row r="39" spans="1:37" x14ac:dyDescent="0.25">
      <c r="A39" s="22" t="s">
        <v>99</v>
      </c>
      <c r="B39" s="22" t="s">
        <v>103</v>
      </c>
      <c r="C39" s="22">
        <v>-30.538</v>
      </c>
      <c r="E39" s="26"/>
      <c r="F39" s="27" t="s">
        <v>8</v>
      </c>
      <c r="G39" s="27" t="s">
        <v>115</v>
      </c>
      <c r="I39" s="51" t="s">
        <v>200</v>
      </c>
      <c r="J39" s="52"/>
      <c r="M39" s="49"/>
      <c r="N39" s="49"/>
      <c r="O39" s="49"/>
      <c r="P39" s="49"/>
      <c r="Q39" s="49"/>
      <c r="R39" s="49"/>
      <c r="S39" s="49"/>
      <c r="T39" s="49"/>
      <c r="U39" s="49"/>
      <c r="V39" s="49"/>
      <c r="W39" s="49"/>
      <c r="X39" s="49"/>
      <c r="Y39" s="49"/>
      <c r="Z39" s="49"/>
    </row>
    <row r="40" spans="1:37" x14ac:dyDescent="0.25">
      <c r="A40" s="22" t="s">
        <v>99</v>
      </c>
      <c r="B40" s="22" t="s">
        <v>104</v>
      </c>
      <c r="C40" s="22">
        <v>-30.645</v>
      </c>
      <c r="E40" s="28" t="s">
        <v>116</v>
      </c>
      <c r="F40" s="29">
        <f>AVERAGE(C33:C35)</f>
        <v>-31.426333333333332</v>
      </c>
      <c r="G40" s="29">
        <f>STDEVA(C33:C35)</f>
        <v>0.20972919046554622</v>
      </c>
      <c r="I40" s="29">
        <f>AVERAGE(C33:C35,C39:C41)</f>
        <v>-31.010666666666665</v>
      </c>
      <c r="J40" s="29">
        <f>STDEVA(C33:C35,C39:C41)</f>
        <v>0.47548781968276188</v>
      </c>
      <c r="M40" s="49" t="s">
        <v>78</v>
      </c>
      <c r="N40" s="49"/>
      <c r="O40" s="49"/>
      <c r="P40" s="49"/>
      <c r="Q40" s="49"/>
      <c r="R40" s="49"/>
      <c r="S40" s="49"/>
      <c r="T40" s="49"/>
      <c r="U40" s="49"/>
      <c r="V40" s="49"/>
      <c r="W40" s="49"/>
      <c r="X40" s="49"/>
      <c r="Y40" s="49"/>
      <c r="Z40" s="49"/>
    </row>
    <row r="41" spans="1:37" x14ac:dyDescent="0.25">
      <c r="A41" s="44" t="s">
        <v>99</v>
      </c>
      <c r="B41" s="44" t="s">
        <v>105</v>
      </c>
      <c r="C41" s="44">
        <v>-30.602</v>
      </c>
      <c r="E41" s="28" t="s">
        <v>117</v>
      </c>
      <c r="F41" s="29">
        <f>AVERAGE(C39:C41)</f>
        <v>-30.594999999999999</v>
      </c>
      <c r="G41" s="29">
        <f>STDEVA(C39:C41)</f>
        <v>5.3842362503886902E-2</v>
      </c>
      <c r="M41" s="49" t="s">
        <v>79</v>
      </c>
      <c r="N41" s="49"/>
      <c r="O41" s="49"/>
      <c r="P41" s="49"/>
      <c r="Q41" s="49"/>
      <c r="R41" s="49"/>
      <c r="S41" s="49"/>
      <c r="T41" s="49"/>
      <c r="U41" s="49"/>
      <c r="V41" s="49"/>
      <c r="W41" s="49"/>
      <c r="X41" s="49"/>
      <c r="Y41" s="49"/>
      <c r="Z41" s="49"/>
    </row>
    <row r="42" spans="1:37" x14ac:dyDescent="0.25">
      <c r="A42" s="42" t="s">
        <v>192</v>
      </c>
      <c r="B42" s="43">
        <f>AVERAGE(C30:C41)</f>
        <v>-31.300166666666666</v>
      </c>
      <c r="C42" s="43">
        <f>STDEVA(C30:C41)</f>
        <v>0.51986831083079188</v>
      </c>
      <c r="M42" s="49"/>
      <c r="N42" s="49"/>
      <c r="O42" s="49"/>
      <c r="P42" s="49"/>
      <c r="Q42" s="49"/>
      <c r="R42" s="49"/>
      <c r="S42" s="49"/>
      <c r="T42" s="49"/>
      <c r="U42" s="49"/>
      <c r="V42" s="49"/>
      <c r="W42" s="49"/>
      <c r="X42" s="49"/>
      <c r="Y42" s="49"/>
      <c r="Z42" s="49"/>
    </row>
    <row r="43" spans="1:37" x14ac:dyDescent="0.25">
      <c r="M43" s="49" t="s">
        <v>65</v>
      </c>
      <c r="N43" s="49" t="s">
        <v>66</v>
      </c>
      <c r="O43" s="49" t="s">
        <v>182</v>
      </c>
      <c r="P43" s="49"/>
      <c r="Q43" s="49"/>
      <c r="R43" s="49"/>
      <c r="S43" s="49"/>
      <c r="T43" s="49"/>
      <c r="U43" s="49"/>
      <c r="V43" s="49"/>
      <c r="W43" s="49"/>
      <c r="X43" s="49"/>
      <c r="Y43" s="49"/>
      <c r="Z43" s="49"/>
    </row>
    <row r="44" spans="1:37" x14ac:dyDescent="0.25">
      <c r="A44" s="24" t="s">
        <v>106</v>
      </c>
      <c r="B44" s="24" t="s">
        <v>107</v>
      </c>
      <c r="C44" s="25">
        <v>-31.332000000000001</v>
      </c>
      <c r="M44" s="49"/>
      <c r="N44" s="49"/>
      <c r="O44" s="49"/>
      <c r="P44" s="49"/>
      <c r="Q44" s="49"/>
      <c r="R44" s="49"/>
      <c r="S44" s="49"/>
      <c r="T44" s="49"/>
      <c r="U44" s="49"/>
      <c r="V44" s="49"/>
      <c r="W44" s="49"/>
      <c r="X44" s="49"/>
      <c r="Y44" s="49"/>
      <c r="Z44" s="49"/>
    </row>
    <row r="45" spans="1:37" ht="30" x14ac:dyDescent="0.25">
      <c r="A45" s="24" t="s">
        <v>108</v>
      </c>
      <c r="B45" s="24" t="s">
        <v>109</v>
      </c>
      <c r="C45" s="25">
        <v>-31.608000000000001</v>
      </c>
      <c r="M45" s="67" t="s">
        <v>38</v>
      </c>
      <c r="N45" s="68" t="s">
        <v>17</v>
      </c>
      <c r="O45" s="69" t="s">
        <v>184</v>
      </c>
      <c r="P45" s="69" t="s">
        <v>183</v>
      </c>
      <c r="Q45" s="69" t="s">
        <v>175</v>
      </c>
      <c r="R45" s="69" t="s">
        <v>185</v>
      </c>
      <c r="S45" s="39"/>
      <c r="T45" s="70" t="s">
        <v>15</v>
      </c>
      <c r="U45" s="70"/>
      <c r="V45" s="70"/>
      <c r="W45" s="70" t="s">
        <v>16</v>
      </c>
      <c r="X45" s="71" t="s">
        <v>17</v>
      </c>
      <c r="Y45" s="70" t="s">
        <v>36</v>
      </c>
      <c r="Z45" s="49"/>
      <c r="AK45" s="40" t="s">
        <v>80</v>
      </c>
    </row>
    <row r="46" spans="1:37" x14ac:dyDescent="0.25">
      <c r="A46" s="22" t="s">
        <v>110</v>
      </c>
      <c r="B46" s="22" t="s">
        <v>111</v>
      </c>
      <c r="C46" s="22">
        <v>-30.617999999999999</v>
      </c>
      <c r="E46" s="26"/>
      <c r="F46" s="27" t="s">
        <v>114</v>
      </c>
      <c r="G46" s="27" t="s">
        <v>115</v>
      </c>
      <c r="M46" s="59" t="s">
        <v>39</v>
      </c>
      <c r="N46" s="59" t="s">
        <v>76</v>
      </c>
      <c r="O46" s="60">
        <v>2.3926327590946629E-2</v>
      </c>
      <c r="P46" s="61"/>
      <c r="Q46" s="49"/>
      <c r="R46" s="62">
        <f>O46</f>
        <v>2.3926327590946629E-2</v>
      </c>
      <c r="S46" s="49"/>
      <c r="T46" s="49" t="s">
        <v>10</v>
      </c>
      <c r="U46" s="49"/>
      <c r="V46" s="49"/>
      <c r="W46" s="49" t="s">
        <v>3</v>
      </c>
      <c r="X46" s="61" t="s">
        <v>76</v>
      </c>
      <c r="Y46" s="63">
        <v>17140.800999999999</v>
      </c>
      <c r="Z46" s="49"/>
      <c r="AK46">
        <v>-25.65</v>
      </c>
    </row>
    <row r="47" spans="1:37" x14ac:dyDescent="0.25">
      <c r="A47" s="22" t="s">
        <v>110</v>
      </c>
      <c r="B47" s="22" t="s">
        <v>112</v>
      </c>
      <c r="C47" s="22">
        <v>-30.74</v>
      </c>
      <c r="E47" s="28" t="s">
        <v>116</v>
      </c>
      <c r="F47" s="29">
        <f>AVERAGE(C44:C45)</f>
        <v>-31.47</v>
      </c>
      <c r="G47" s="29">
        <f>STDEVA(C44:C45)</f>
        <v>0.19516147160748695</v>
      </c>
      <c r="M47" s="59" t="s">
        <v>40</v>
      </c>
      <c r="N47" s="59" t="s">
        <v>23</v>
      </c>
      <c r="O47" s="60">
        <v>1.5825692323370866</v>
      </c>
      <c r="P47" s="64">
        <v>42449</v>
      </c>
      <c r="Q47" s="61" t="s">
        <v>181</v>
      </c>
      <c r="R47" s="65">
        <f>MEDIAN(R46,R50:R52)</f>
        <v>1.6182832150133653E-2</v>
      </c>
      <c r="S47" s="49"/>
      <c r="T47" s="49" t="s">
        <v>2</v>
      </c>
      <c r="U47" s="49"/>
      <c r="V47" s="49"/>
      <c r="W47" s="49" t="s">
        <v>4</v>
      </c>
      <c r="X47" s="61" t="s">
        <v>23</v>
      </c>
      <c r="Y47" s="63">
        <v>43903.300999999999</v>
      </c>
      <c r="Z47" s="49"/>
      <c r="AK47">
        <v>-25.65</v>
      </c>
    </row>
    <row r="48" spans="1:37" x14ac:dyDescent="0.25">
      <c r="A48" s="44" t="s">
        <v>110</v>
      </c>
      <c r="B48" s="44" t="s">
        <v>113</v>
      </c>
      <c r="C48" s="44">
        <v>-30.916</v>
      </c>
      <c r="E48" s="28" t="s">
        <v>117</v>
      </c>
      <c r="F48" s="29">
        <f>AVERAGE(C46:C48)</f>
        <v>-30.757999999999999</v>
      </c>
      <c r="G48" s="29">
        <f>STDEVA(C46:C48)</f>
        <v>0.149813217040421</v>
      </c>
      <c r="M48" s="59" t="s">
        <v>41</v>
      </c>
      <c r="N48" s="59" t="s">
        <v>176</v>
      </c>
      <c r="O48" s="60">
        <v>0.5014065020695273</v>
      </c>
      <c r="P48" s="61" t="s">
        <v>179</v>
      </c>
      <c r="Q48" s="61" t="s">
        <v>180</v>
      </c>
      <c r="R48" s="65">
        <f>O63</f>
        <v>3.4970807455924199E-3</v>
      </c>
      <c r="S48" s="49"/>
      <c r="T48" s="49" t="s">
        <v>186</v>
      </c>
      <c r="U48" s="49"/>
      <c r="V48" s="49"/>
      <c r="W48" s="49" t="s">
        <v>3</v>
      </c>
      <c r="X48" s="61" t="s">
        <v>176</v>
      </c>
      <c r="Y48" s="49">
        <v>29073.1</v>
      </c>
      <c r="Z48" s="49"/>
      <c r="AK48">
        <v>-25.65</v>
      </c>
    </row>
    <row r="49" spans="1:37" x14ac:dyDescent="0.25">
      <c r="A49" s="42" t="s">
        <v>191</v>
      </c>
      <c r="B49" s="43">
        <f>AVERAGE(C44:C48)</f>
        <v>-31.0428</v>
      </c>
      <c r="C49" s="43">
        <f>STDEVA(C44:C48)</f>
        <v>0.41572490904443138</v>
      </c>
      <c r="M49" s="59" t="s">
        <v>42</v>
      </c>
      <c r="N49" s="59" t="s">
        <v>30</v>
      </c>
      <c r="O49" s="60">
        <v>0.26417286528717754</v>
      </c>
      <c r="P49" s="61" t="s">
        <v>179</v>
      </c>
      <c r="Q49" s="61" t="s">
        <v>181</v>
      </c>
      <c r="R49" s="65">
        <f>MEDIAN(R46,R50:R52)</f>
        <v>1.6182832150133653E-2</v>
      </c>
      <c r="S49" s="49"/>
      <c r="T49" s="49" t="s">
        <v>8</v>
      </c>
      <c r="U49" s="49"/>
      <c r="V49" s="49"/>
      <c r="W49" s="49" t="s">
        <v>4</v>
      </c>
      <c r="X49" s="61" t="s">
        <v>30</v>
      </c>
      <c r="Y49" s="63">
        <v>9452.5</v>
      </c>
      <c r="Z49" s="49"/>
      <c r="AK49">
        <v>-25.65</v>
      </c>
    </row>
    <row r="50" spans="1:37" x14ac:dyDescent="0.25">
      <c r="A50" s="23"/>
      <c r="B50" s="23"/>
      <c r="C50" s="23"/>
      <c r="M50" s="59" t="s">
        <v>43</v>
      </c>
      <c r="N50" s="59" t="s">
        <v>177</v>
      </c>
      <c r="O50" s="60">
        <v>5.3294195852720251E-2</v>
      </c>
      <c r="P50" s="61" t="s">
        <v>179</v>
      </c>
      <c r="Q50" s="61"/>
      <c r="R50" s="62">
        <f>O50</f>
        <v>5.3294195852720251E-2</v>
      </c>
      <c r="S50" s="49"/>
      <c r="T50" s="49" t="s">
        <v>186</v>
      </c>
      <c r="U50" s="49"/>
      <c r="V50" s="49"/>
      <c r="W50" s="49" t="s">
        <v>3</v>
      </c>
      <c r="X50" s="61" t="s">
        <v>177</v>
      </c>
      <c r="Y50" s="49">
        <v>8369.2001999999993</v>
      </c>
      <c r="Z50" s="49"/>
      <c r="AK50">
        <v>-25.65</v>
      </c>
    </row>
    <row r="51" spans="1:37" x14ac:dyDescent="0.25">
      <c r="M51" s="59" t="s">
        <v>44</v>
      </c>
      <c r="N51" s="59" t="s">
        <v>31</v>
      </c>
      <c r="O51" s="60">
        <v>8.4393367093206773E-3</v>
      </c>
      <c r="P51" s="61"/>
      <c r="Q51" s="61"/>
      <c r="R51" s="62">
        <f>O51</f>
        <v>8.4393367093206773E-3</v>
      </c>
      <c r="S51" s="49"/>
      <c r="T51" s="49" t="s">
        <v>8</v>
      </c>
      <c r="U51" s="49"/>
      <c r="V51" s="49"/>
      <c r="W51" s="49" t="s">
        <v>4</v>
      </c>
      <c r="X51" s="61" t="s">
        <v>31</v>
      </c>
      <c r="Y51" s="63">
        <v>13776.5</v>
      </c>
      <c r="Z51" s="49"/>
      <c r="AK51">
        <v>-25.65</v>
      </c>
    </row>
    <row r="52" spans="1:37" x14ac:dyDescent="0.25">
      <c r="M52" s="59" t="s">
        <v>45</v>
      </c>
      <c r="N52" s="59" t="s">
        <v>26</v>
      </c>
      <c r="O52" s="60">
        <v>6.5290964155009738E-3</v>
      </c>
      <c r="P52" s="61"/>
      <c r="Q52" s="61"/>
      <c r="R52" s="62">
        <f>O52</f>
        <v>6.5290964155009738E-3</v>
      </c>
      <c r="S52" s="49"/>
      <c r="T52" s="49" t="s">
        <v>8</v>
      </c>
      <c r="U52" s="49"/>
      <c r="V52" s="49"/>
      <c r="W52" s="49" t="s">
        <v>4</v>
      </c>
      <c r="X52" s="61" t="s">
        <v>26</v>
      </c>
      <c r="Y52" s="63">
        <v>17448.599999999999</v>
      </c>
      <c r="Z52" s="49"/>
      <c r="AK52">
        <v>-25.65</v>
      </c>
    </row>
    <row r="53" spans="1:37" x14ac:dyDescent="0.25">
      <c r="M53" s="59" t="s">
        <v>46</v>
      </c>
      <c r="N53" s="59" t="s">
        <v>27</v>
      </c>
      <c r="O53" s="60">
        <v>8.28384463943296E-3</v>
      </c>
      <c r="P53" s="61"/>
      <c r="Q53" s="61"/>
      <c r="R53" s="62">
        <f t="shared" ref="R53:R58" si="9">O53</f>
        <v>8.28384463943296E-3</v>
      </c>
      <c r="S53" s="49"/>
      <c r="T53" s="49" t="s">
        <v>8</v>
      </c>
      <c r="U53" s="49"/>
      <c r="V53" s="49"/>
      <c r="W53" s="49" t="s">
        <v>4</v>
      </c>
      <c r="X53" s="61" t="s">
        <v>27</v>
      </c>
      <c r="Y53" s="63">
        <v>2965.98</v>
      </c>
      <c r="Z53" s="49"/>
      <c r="AK53">
        <v>-25.65</v>
      </c>
    </row>
    <row r="54" spans="1:37" x14ac:dyDescent="0.25">
      <c r="M54" s="59" t="s">
        <v>47</v>
      </c>
      <c r="N54" s="59" t="s">
        <v>178</v>
      </c>
      <c r="O54" s="60">
        <v>4.8701375008149313E-2</v>
      </c>
      <c r="P54" s="61"/>
      <c r="Q54" s="61"/>
      <c r="R54" s="62">
        <f t="shared" si="9"/>
        <v>4.8701375008149313E-2</v>
      </c>
      <c r="S54" s="49"/>
      <c r="T54" s="49" t="s">
        <v>186</v>
      </c>
      <c r="U54" s="49"/>
      <c r="V54" s="49"/>
      <c r="W54" s="49" t="s">
        <v>3</v>
      </c>
      <c r="X54" s="61" t="s">
        <v>178</v>
      </c>
      <c r="Y54" s="49">
        <v>3360.51</v>
      </c>
      <c r="Z54" s="49"/>
      <c r="AK54">
        <v>-25.65</v>
      </c>
    </row>
    <row r="55" spans="1:37" x14ac:dyDescent="0.25">
      <c r="A55" s="23"/>
      <c r="B55" s="30"/>
      <c r="C55" s="30"/>
      <c r="M55" s="59" t="s">
        <v>48</v>
      </c>
      <c r="N55" s="59" t="s">
        <v>28</v>
      </c>
      <c r="O55" s="60">
        <v>1.5554078707623875E-2</v>
      </c>
      <c r="P55" s="61"/>
      <c r="Q55" s="61"/>
      <c r="R55" s="62">
        <f t="shared" si="9"/>
        <v>1.5554078707623875E-2</v>
      </c>
      <c r="S55" s="49"/>
      <c r="T55" s="49" t="s">
        <v>8</v>
      </c>
      <c r="U55" s="49"/>
      <c r="V55" s="49"/>
      <c r="W55" s="49" t="s">
        <v>4</v>
      </c>
      <c r="X55" s="61" t="s">
        <v>28</v>
      </c>
      <c r="Y55" s="63">
        <v>5336.0801000000001</v>
      </c>
      <c r="Z55" s="49"/>
      <c r="AK55">
        <v>-25.65</v>
      </c>
    </row>
    <row r="56" spans="1:37" x14ac:dyDescent="0.25">
      <c r="M56" s="59" t="s">
        <v>49</v>
      </c>
      <c r="N56" s="59" t="s">
        <v>29</v>
      </c>
      <c r="O56" s="60">
        <v>1.8036078456431636E-2</v>
      </c>
      <c r="P56" s="61"/>
      <c r="Q56" s="61"/>
      <c r="R56" s="62">
        <f t="shared" si="9"/>
        <v>1.8036078456431636E-2</v>
      </c>
      <c r="S56" s="49"/>
      <c r="T56" s="49" t="s">
        <v>8</v>
      </c>
      <c r="U56" s="49"/>
      <c r="V56" s="49"/>
      <c r="W56" s="49" t="s">
        <v>4</v>
      </c>
      <c r="X56" s="61" t="s">
        <v>29</v>
      </c>
      <c r="Y56" s="63">
        <v>7356.8301000000001</v>
      </c>
      <c r="Z56" s="49"/>
      <c r="AD56" s="5"/>
      <c r="AK56">
        <v>-25.65</v>
      </c>
    </row>
    <row r="57" spans="1:37" x14ac:dyDescent="0.25">
      <c r="M57" s="59" t="s">
        <v>50</v>
      </c>
      <c r="N57" s="59" t="s">
        <v>22</v>
      </c>
      <c r="O57" s="60">
        <v>1.7766197991410899</v>
      </c>
      <c r="P57" s="64">
        <v>42449</v>
      </c>
      <c r="Q57" s="61" t="s">
        <v>181</v>
      </c>
      <c r="R57" s="65">
        <f>MEDIAN(R53:R56,R58)</f>
        <v>1.6211163083152666E-2</v>
      </c>
      <c r="S57" s="49"/>
      <c r="T57" s="49" t="s">
        <v>2</v>
      </c>
      <c r="U57" s="49"/>
      <c r="V57" s="49"/>
      <c r="W57" s="49" t="s">
        <v>4</v>
      </c>
      <c r="X57" s="61" t="s">
        <v>22</v>
      </c>
      <c r="Y57" s="63">
        <v>14204.8</v>
      </c>
      <c r="Z57" s="49"/>
      <c r="AK57">
        <v>-25.65</v>
      </c>
    </row>
    <row r="58" spans="1:37" x14ac:dyDescent="0.25">
      <c r="M58" s="59" t="s">
        <v>51</v>
      </c>
      <c r="N58" s="59" t="s">
        <v>77</v>
      </c>
      <c r="O58" s="60">
        <v>1.6211163083152666E-2</v>
      </c>
      <c r="P58" s="61"/>
      <c r="Q58" s="61"/>
      <c r="R58" s="62">
        <f t="shared" si="9"/>
        <v>1.6211163083152666E-2</v>
      </c>
      <c r="S58" s="49"/>
      <c r="T58" s="49" t="s">
        <v>13</v>
      </c>
      <c r="U58" s="49"/>
      <c r="V58" s="49"/>
      <c r="W58" s="49" t="s">
        <v>3</v>
      </c>
      <c r="X58" s="61" t="s">
        <v>77</v>
      </c>
      <c r="Y58" s="63">
        <v>9383.6396000000004</v>
      </c>
      <c r="Z58" s="49"/>
      <c r="AK58">
        <v>-25.65</v>
      </c>
    </row>
    <row r="59" spans="1:37" x14ac:dyDescent="0.25">
      <c r="A59" s="23"/>
      <c r="B59" s="30"/>
      <c r="C59" s="30"/>
      <c r="M59" s="59" t="s">
        <v>52</v>
      </c>
      <c r="N59" s="59" t="s">
        <v>21</v>
      </c>
      <c r="O59" s="60">
        <v>1.6680819723333415</v>
      </c>
      <c r="P59" s="64">
        <v>42449</v>
      </c>
      <c r="Q59" s="61" t="s">
        <v>180</v>
      </c>
      <c r="R59" s="65">
        <f>O66</f>
        <v>3.9399324434441815E-2</v>
      </c>
      <c r="S59" s="49"/>
      <c r="T59" s="49" t="s">
        <v>2</v>
      </c>
      <c r="U59" s="49"/>
      <c r="V59" s="49"/>
      <c r="W59" s="49" t="s">
        <v>4</v>
      </c>
      <c r="X59" s="61" t="s">
        <v>21</v>
      </c>
      <c r="Y59" s="63">
        <v>15022.6</v>
      </c>
      <c r="Z59" s="49"/>
      <c r="AK59">
        <v>-25.65</v>
      </c>
    </row>
    <row r="60" spans="1:37" x14ac:dyDescent="0.25">
      <c r="M60" s="59" t="s">
        <v>53</v>
      </c>
      <c r="N60" s="59" t="s">
        <v>75</v>
      </c>
      <c r="O60" s="60">
        <v>2.0742564110894026</v>
      </c>
      <c r="P60" s="61" t="s">
        <v>7</v>
      </c>
      <c r="Q60" s="61" t="s">
        <v>180</v>
      </c>
      <c r="R60" s="65">
        <f>O67</f>
        <v>2.0615345325742124E-2</v>
      </c>
      <c r="S60" s="49"/>
      <c r="T60" s="49" t="s">
        <v>5</v>
      </c>
      <c r="U60" s="49"/>
      <c r="V60" s="49"/>
      <c r="W60" s="49" t="s">
        <v>4</v>
      </c>
      <c r="X60" s="61" t="s">
        <v>75</v>
      </c>
      <c r="Y60" s="63">
        <v>54313.800999999999</v>
      </c>
      <c r="Z60" s="49"/>
      <c r="AK60">
        <v>-25.65</v>
      </c>
    </row>
    <row r="61" spans="1:37" x14ac:dyDescent="0.25">
      <c r="M61" s="59" t="s">
        <v>54</v>
      </c>
      <c r="N61" s="59" t="s">
        <v>25</v>
      </c>
      <c r="O61" s="60">
        <v>2.5543048876060039E-2</v>
      </c>
      <c r="P61" s="49"/>
      <c r="Q61" s="61"/>
      <c r="R61" s="62">
        <f>O61</f>
        <v>2.5543048876060039E-2</v>
      </c>
      <c r="S61" s="49"/>
      <c r="T61" s="49" t="s">
        <v>9</v>
      </c>
      <c r="U61" s="49"/>
      <c r="V61" s="49"/>
      <c r="W61" s="49" t="s">
        <v>4</v>
      </c>
      <c r="X61" s="61" t="s">
        <v>25</v>
      </c>
      <c r="Y61" s="63">
        <v>24869.1</v>
      </c>
      <c r="Z61" s="49"/>
      <c r="AK61">
        <v>-25.65</v>
      </c>
    </row>
    <row r="62" spans="1:37" x14ac:dyDescent="0.25">
      <c r="M62" s="59"/>
      <c r="N62" s="59"/>
      <c r="O62" s="59"/>
      <c r="P62" s="49"/>
      <c r="Q62" s="61"/>
      <c r="R62" s="55"/>
      <c r="S62" s="49"/>
      <c r="T62" s="49" t="s">
        <v>11</v>
      </c>
      <c r="U62" s="49"/>
      <c r="V62" s="49"/>
      <c r="W62" s="49" t="s">
        <v>3</v>
      </c>
      <c r="X62" s="61" t="s">
        <v>187</v>
      </c>
      <c r="Y62" s="63">
        <v>10682.2</v>
      </c>
      <c r="Z62" s="49"/>
    </row>
    <row r="63" spans="1:37" x14ac:dyDescent="0.25">
      <c r="M63" s="59" t="s">
        <v>55</v>
      </c>
      <c r="N63" s="59"/>
      <c r="O63" s="66">
        <v>3.4970807455924199E-3</v>
      </c>
      <c r="P63" s="49"/>
      <c r="Q63" s="49"/>
      <c r="R63" s="49"/>
      <c r="S63" s="49"/>
      <c r="T63" s="49" t="s">
        <v>9</v>
      </c>
      <c r="U63" s="49"/>
      <c r="V63" s="49"/>
      <c r="W63" s="49" t="s">
        <v>4</v>
      </c>
      <c r="X63" s="61" t="s">
        <v>33</v>
      </c>
      <c r="Y63" s="63">
        <v>1165.4301</v>
      </c>
      <c r="Z63" s="49"/>
    </row>
    <row r="64" spans="1:37" x14ac:dyDescent="0.25">
      <c r="M64" s="59" t="s">
        <v>56</v>
      </c>
      <c r="N64" s="59"/>
      <c r="O64" s="66">
        <v>5.8650867847006745E-3</v>
      </c>
      <c r="P64" s="49"/>
      <c r="Q64" s="49"/>
      <c r="R64" s="49"/>
      <c r="S64" s="49"/>
      <c r="T64" s="49" t="s">
        <v>2</v>
      </c>
      <c r="U64" s="49"/>
      <c r="V64" s="49"/>
      <c r="W64" s="49" t="s">
        <v>3</v>
      </c>
      <c r="X64" s="61" t="s">
        <v>24</v>
      </c>
      <c r="Y64" s="63">
        <v>15697.6</v>
      </c>
      <c r="Z64" s="49"/>
    </row>
    <row r="65" spans="1:26" x14ac:dyDescent="0.25">
      <c r="M65" s="59" t="s">
        <v>57</v>
      </c>
      <c r="N65" s="59"/>
      <c r="O65" s="66">
        <v>1.6946444649095119E-2</v>
      </c>
      <c r="P65" s="49"/>
      <c r="Q65" s="49"/>
      <c r="R65" s="49"/>
      <c r="S65" s="49"/>
      <c r="T65" s="49" t="s">
        <v>2</v>
      </c>
      <c r="U65" s="49"/>
      <c r="V65" s="49"/>
      <c r="W65" s="49" t="s">
        <v>4</v>
      </c>
      <c r="X65" s="61" t="s">
        <v>74</v>
      </c>
      <c r="Y65" s="63">
        <v>21751.5</v>
      </c>
      <c r="Z65" s="49"/>
    </row>
    <row r="66" spans="1:26" x14ac:dyDescent="0.25">
      <c r="A66" s="34"/>
      <c r="B66" s="23"/>
      <c r="C66" s="23"/>
      <c r="M66" s="59" t="s">
        <v>58</v>
      </c>
      <c r="N66" s="59"/>
      <c r="O66" s="66">
        <v>3.9399324434441815E-2</v>
      </c>
      <c r="P66" s="49"/>
      <c r="Q66" s="49"/>
      <c r="R66" s="49"/>
      <c r="S66" s="49"/>
      <c r="T66" s="49" t="s">
        <v>10</v>
      </c>
      <c r="U66" s="49"/>
      <c r="V66" s="49"/>
      <c r="W66" s="49" t="s">
        <v>3</v>
      </c>
      <c r="X66" s="61" t="s">
        <v>32</v>
      </c>
      <c r="Y66" s="63">
        <v>6040.2201999999997</v>
      </c>
      <c r="Z66" s="49"/>
    </row>
    <row r="67" spans="1:26" x14ac:dyDescent="0.25">
      <c r="M67" s="59" t="s">
        <v>59</v>
      </c>
      <c r="N67" s="59"/>
      <c r="O67" s="66">
        <v>2.0615345325742124E-2</v>
      </c>
      <c r="P67" s="49"/>
      <c r="Q67" s="49"/>
      <c r="R67" s="49"/>
      <c r="S67" s="49"/>
      <c r="T67" s="49"/>
      <c r="U67" s="49"/>
      <c r="V67" s="49"/>
      <c r="W67" s="49"/>
      <c r="X67" s="49"/>
      <c r="Y67" s="49"/>
      <c r="Z67" s="49"/>
    </row>
    <row r="68" spans="1:26" x14ac:dyDescent="0.25">
      <c r="L68" s="18"/>
      <c r="M68" s="59" t="s">
        <v>60</v>
      </c>
      <c r="N68" s="59"/>
      <c r="O68" s="66">
        <v>1.1117839406732801E-2</v>
      </c>
      <c r="P68" s="49"/>
      <c r="Q68" s="49"/>
      <c r="R68" s="49"/>
      <c r="S68" s="49"/>
      <c r="T68" s="49"/>
      <c r="U68" s="49"/>
      <c r="V68" s="49"/>
      <c r="W68" s="49"/>
      <c r="X68" s="49"/>
      <c r="Y68" s="49"/>
      <c r="Z68" s="49"/>
    </row>
    <row r="69" spans="1:26" x14ac:dyDescent="0.25">
      <c r="M69" s="49"/>
      <c r="N69" s="49"/>
      <c r="O69" s="49"/>
      <c r="P69" s="49"/>
      <c r="Q69" s="49"/>
      <c r="R69" s="49"/>
      <c r="S69" s="49"/>
      <c r="T69" s="49"/>
      <c r="U69" s="49"/>
      <c r="V69" s="49"/>
      <c r="W69" s="49"/>
      <c r="X69" s="49"/>
      <c r="Y69" s="49"/>
      <c r="Z69" s="49"/>
    </row>
    <row r="70" spans="1:26" ht="90" x14ac:dyDescent="0.25">
      <c r="M70" s="56" t="s">
        <v>38</v>
      </c>
      <c r="N70" s="57"/>
      <c r="O70" s="58" t="s">
        <v>63</v>
      </c>
      <c r="P70" s="58" t="s">
        <v>61</v>
      </c>
      <c r="Q70" s="58" t="s">
        <v>174</v>
      </c>
      <c r="R70" s="58" t="s">
        <v>68</v>
      </c>
      <c r="S70" s="49"/>
      <c r="T70" s="49"/>
      <c r="U70" s="49"/>
      <c r="V70" s="49"/>
      <c r="W70" s="49"/>
      <c r="X70" s="49"/>
      <c r="Y70" s="49"/>
      <c r="Z70" s="49"/>
    </row>
    <row r="71" spans="1:26" x14ac:dyDescent="0.25">
      <c r="O71" s="5"/>
    </row>
    <row r="72" spans="1:26" x14ac:dyDescent="0.25">
      <c r="O72" s="5"/>
    </row>
    <row r="73" spans="1:26" x14ac:dyDescent="0.25">
      <c r="O73" s="5"/>
    </row>
    <row r="74" spans="1:26" x14ac:dyDescent="0.25">
      <c r="O74" s="5"/>
    </row>
    <row r="75" spans="1:26" x14ac:dyDescent="0.25">
      <c r="O75" s="5"/>
    </row>
  </sheetData>
  <sortState ref="W4:X21">
    <sortCondition ref="W4:W21"/>
  </sortState>
  <mergeCells count="2">
    <mergeCell ref="W1:X2"/>
    <mergeCell ref="Y1:Z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36" sqref="F36"/>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8"/>
  <sheetViews>
    <sheetView workbookViewId="0">
      <selection activeCell="J2" sqref="J2"/>
    </sheetView>
  </sheetViews>
  <sheetFormatPr baseColWidth="10" defaultColWidth="9.140625" defaultRowHeight="15" x14ac:dyDescent="0.25"/>
  <cols>
    <col min="2" max="2" width="32.5703125" bestFit="1" customWidth="1"/>
    <col min="3" max="3" width="10.28515625" customWidth="1"/>
    <col min="4" max="4" width="12.85546875" customWidth="1"/>
    <col min="6" max="6" width="9.140625" bestFit="1" customWidth="1"/>
    <col min="8" max="8" width="9.7109375" bestFit="1" customWidth="1"/>
    <col min="9" max="9" width="10.140625" bestFit="1" customWidth="1"/>
    <col min="10" max="10" width="12.85546875" customWidth="1"/>
    <col min="11" max="11" width="12" style="6" customWidth="1"/>
    <col min="12" max="12" width="9" style="6"/>
    <col min="15" max="15" width="11.140625" customWidth="1"/>
  </cols>
  <sheetData>
    <row r="1" spans="1:18" ht="30" x14ac:dyDescent="0.25">
      <c r="A1" s="1" t="s">
        <v>15</v>
      </c>
      <c r="B1" s="1" t="s">
        <v>16</v>
      </c>
      <c r="C1" s="2" t="s">
        <v>17</v>
      </c>
      <c r="D1" s="3" t="s">
        <v>0</v>
      </c>
      <c r="E1" s="1" t="s">
        <v>1</v>
      </c>
      <c r="F1" s="1" t="s">
        <v>84</v>
      </c>
      <c r="G1" s="1" t="s">
        <v>36</v>
      </c>
      <c r="H1" s="1" t="s">
        <v>37</v>
      </c>
      <c r="I1" s="1" t="s">
        <v>82</v>
      </c>
      <c r="J1" s="3" t="s">
        <v>83</v>
      </c>
      <c r="K1" s="16" t="s">
        <v>91</v>
      </c>
      <c r="L1" s="16" t="s">
        <v>81</v>
      </c>
      <c r="N1" s="21" t="s">
        <v>87</v>
      </c>
      <c r="O1" s="21" t="s">
        <v>88</v>
      </c>
      <c r="P1" s="21" t="s">
        <v>85</v>
      </c>
      <c r="Q1" s="21" t="s">
        <v>86</v>
      </c>
    </row>
    <row r="2" spans="1:18" x14ac:dyDescent="0.25">
      <c r="A2" s="4" t="s">
        <v>2</v>
      </c>
      <c r="B2" t="s">
        <v>3</v>
      </c>
      <c r="C2" s="5" t="s">
        <v>24</v>
      </c>
      <c r="D2" s="9">
        <v>42449</v>
      </c>
      <c r="E2" s="10" t="s">
        <v>19</v>
      </c>
      <c r="F2" s="12">
        <v>960</v>
      </c>
      <c r="G2">
        <v>15697.6</v>
      </c>
      <c r="H2" s="12">
        <v>1.56976</v>
      </c>
      <c r="I2" s="12">
        <v>0.6</v>
      </c>
      <c r="J2" s="12">
        <f t="shared" ref="J2:J19" si="0">F2*H2*I2</f>
        <v>904.18176000000005</v>
      </c>
      <c r="K2" s="7">
        <f>$B$65</f>
        <v>-31.300166666666666</v>
      </c>
      <c r="L2" s="7">
        <f>J2/$J$20</f>
        <v>4.7032830789102344E-2</v>
      </c>
      <c r="N2" s="6"/>
    </row>
    <row r="3" spans="1:18" x14ac:dyDescent="0.25">
      <c r="A3" t="s">
        <v>2</v>
      </c>
      <c r="B3" t="s">
        <v>4</v>
      </c>
      <c r="C3" s="5" t="s">
        <v>21</v>
      </c>
      <c r="D3" s="9">
        <v>42449</v>
      </c>
      <c r="E3" s="10" t="s">
        <v>19</v>
      </c>
      <c r="F3" s="12">
        <v>960</v>
      </c>
      <c r="G3">
        <v>15022.6</v>
      </c>
      <c r="H3" s="12">
        <v>1.5022599999999999</v>
      </c>
      <c r="I3" s="12">
        <v>0.6</v>
      </c>
      <c r="J3" s="12">
        <f t="shared" si="0"/>
        <v>865.30175999999994</v>
      </c>
      <c r="K3" s="7">
        <f t="shared" ref="K3:K7" si="1">$B$65</f>
        <v>-31.300166666666666</v>
      </c>
      <c r="L3" s="7">
        <f t="shared" ref="L3:L19" si="2">J3/$J$20</f>
        <v>4.5010409477395832E-2</v>
      </c>
      <c r="N3" s="6"/>
    </row>
    <row r="4" spans="1:18" x14ac:dyDescent="0.25">
      <c r="A4" t="s">
        <v>2</v>
      </c>
      <c r="B4" t="s">
        <v>4</v>
      </c>
      <c r="C4" s="5" t="s">
        <v>22</v>
      </c>
      <c r="D4" s="9">
        <v>42449</v>
      </c>
      <c r="E4" s="10" t="s">
        <v>19</v>
      </c>
      <c r="F4" s="12">
        <v>960</v>
      </c>
      <c r="G4">
        <v>14204.8</v>
      </c>
      <c r="H4" s="12">
        <v>1.42048</v>
      </c>
      <c r="I4" s="12">
        <v>0.6</v>
      </c>
      <c r="J4" s="12">
        <f t="shared" si="0"/>
        <v>818.19647999999995</v>
      </c>
      <c r="K4" s="7">
        <f t="shared" si="1"/>
        <v>-31.300166666666666</v>
      </c>
      <c r="L4" s="7">
        <f t="shared" si="2"/>
        <v>4.256013370152386E-2</v>
      </c>
      <c r="N4" s="10" t="s">
        <v>90</v>
      </c>
    </row>
    <row r="5" spans="1:18" x14ac:dyDescent="0.25">
      <c r="A5" t="s">
        <v>2</v>
      </c>
      <c r="B5" t="s">
        <v>4</v>
      </c>
      <c r="C5" s="5" t="s">
        <v>23</v>
      </c>
      <c r="D5" s="9">
        <v>42449</v>
      </c>
      <c r="E5" s="10" t="s">
        <v>19</v>
      </c>
      <c r="F5" s="12">
        <v>960</v>
      </c>
      <c r="G5">
        <v>43903.300999999999</v>
      </c>
      <c r="H5" s="12">
        <v>4.3903299999999996</v>
      </c>
      <c r="I5" s="12">
        <v>0.6</v>
      </c>
      <c r="J5" s="12">
        <f t="shared" si="0"/>
        <v>2528.8300799999993</v>
      </c>
      <c r="K5" s="7">
        <f t="shared" si="1"/>
        <v>-31.300166666666666</v>
      </c>
      <c r="L5" s="7">
        <f t="shared" si="2"/>
        <v>0.13154217714702862</v>
      </c>
      <c r="N5" s="10" t="s">
        <v>89</v>
      </c>
    </row>
    <row r="6" spans="1:18" x14ac:dyDescent="0.25">
      <c r="A6" t="s">
        <v>2</v>
      </c>
      <c r="B6" t="s">
        <v>4</v>
      </c>
      <c r="C6" s="5" t="s">
        <v>35</v>
      </c>
      <c r="D6" s="9">
        <v>42449</v>
      </c>
      <c r="E6" s="10" t="s">
        <v>19</v>
      </c>
      <c r="F6" s="12">
        <v>960</v>
      </c>
      <c r="G6">
        <v>21751.5</v>
      </c>
      <c r="H6" s="12">
        <v>2.1751499999999999</v>
      </c>
      <c r="I6" s="12">
        <v>0.6</v>
      </c>
      <c r="J6" s="12">
        <f t="shared" si="0"/>
        <v>1252.8863999999999</v>
      </c>
      <c r="K6" s="7">
        <f t="shared" si="1"/>
        <v>-31.300166666666666</v>
      </c>
      <c r="L6" s="7">
        <f t="shared" si="2"/>
        <v>6.5171403202346823E-2</v>
      </c>
      <c r="N6" s="6"/>
    </row>
    <row r="7" spans="1:18" x14ac:dyDescent="0.25">
      <c r="A7" s="4" t="s">
        <v>5</v>
      </c>
      <c r="B7" t="s">
        <v>4</v>
      </c>
      <c r="C7" s="5" t="s">
        <v>6</v>
      </c>
      <c r="D7" s="9">
        <v>42465</v>
      </c>
      <c r="E7" s="10" t="s">
        <v>18</v>
      </c>
      <c r="F7" s="12">
        <v>960</v>
      </c>
      <c r="G7">
        <v>54313.800999999999</v>
      </c>
      <c r="H7" s="12">
        <v>5.4313799999999999</v>
      </c>
      <c r="I7" s="12">
        <v>0.6</v>
      </c>
      <c r="J7" s="12">
        <f t="shared" si="0"/>
        <v>3128.4748799999998</v>
      </c>
      <c r="K7" s="7">
        <f t="shared" si="1"/>
        <v>-31.300166666666666</v>
      </c>
      <c r="L7" s="7">
        <f t="shared" si="2"/>
        <v>0.16273390613298508</v>
      </c>
      <c r="N7" s="6"/>
    </row>
    <row r="8" spans="1:18" x14ac:dyDescent="0.25">
      <c r="A8" t="s">
        <v>8</v>
      </c>
      <c r="B8" t="s">
        <v>4</v>
      </c>
      <c r="C8" s="5" t="s">
        <v>31</v>
      </c>
      <c r="D8" s="9">
        <v>42473</v>
      </c>
      <c r="E8" s="10" t="s">
        <v>19</v>
      </c>
      <c r="F8" s="12">
        <v>960</v>
      </c>
      <c r="G8">
        <v>13776.5</v>
      </c>
      <c r="H8" s="12">
        <v>1.37765</v>
      </c>
      <c r="I8" s="12">
        <v>0.6</v>
      </c>
      <c r="J8" s="12">
        <f t="shared" si="0"/>
        <v>793.52640000000008</v>
      </c>
      <c r="K8" s="7">
        <f>$B$67</f>
        <v>-31.010666666666665</v>
      </c>
      <c r="L8" s="7">
        <f t="shared" si="2"/>
        <v>4.1276869926999575E-2</v>
      </c>
      <c r="N8" s="6">
        <v>2.5</v>
      </c>
      <c r="O8" s="12">
        <v>120</v>
      </c>
      <c r="P8">
        <f>N8*O8</f>
        <v>300</v>
      </c>
      <c r="Q8">
        <f>H8*P8</f>
        <v>413.29500000000002</v>
      </c>
      <c r="R8">
        <f>(Q8-$J$8)/Q8</f>
        <v>-0.92000000000000015</v>
      </c>
    </row>
    <row r="9" spans="1:18" x14ac:dyDescent="0.25">
      <c r="A9" t="s">
        <v>8</v>
      </c>
      <c r="B9" t="s">
        <v>4</v>
      </c>
      <c r="C9" s="5" t="s">
        <v>30</v>
      </c>
      <c r="D9" s="9">
        <v>42473</v>
      </c>
      <c r="E9" s="10" t="s">
        <v>19</v>
      </c>
      <c r="F9" s="12">
        <v>960</v>
      </c>
      <c r="G9">
        <v>9452.5</v>
      </c>
      <c r="H9" s="12">
        <v>0.94525099999999995</v>
      </c>
      <c r="I9" s="12">
        <v>0.6</v>
      </c>
      <c r="J9" s="12">
        <f t="shared" si="0"/>
        <v>544.46457599999997</v>
      </c>
      <c r="K9" s="7">
        <f t="shared" ref="K9:K13" si="3">$B$67</f>
        <v>-31.010666666666665</v>
      </c>
      <c r="L9" s="7">
        <f t="shared" si="2"/>
        <v>2.832141877499094E-2</v>
      </c>
      <c r="N9" s="6"/>
    </row>
    <row r="10" spans="1:18" x14ac:dyDescent="0.25">
      <c r="A10" t="s">
        <v>8</v>
      </c>
      <c r="B10" t="s">
        <v>4</v>
      </c>
      <c r="C10" s="5" t="s">
        <v>29</v>
      </c>
      <c r="D10" s="9">
        <v>42473</v>
      </c>
      <c r="E10" s="10" t="s">
        <v>19</v>
      </c>
      <c r="F10" s="12">
        <v>960</v>
      </c>
      <c r="G10">
        <v>7356.8301000000001</v>
      </c>
      <c r="H10" s="12">
        <v>0.73568299999999998</v>
      </c>
      <c r="I10" s="12">
        <v>0.6</v>
      </c>
      <c r="J10" s="12">
        <f t="shared" si="0"/>
        <v>423.75340799999998</v>
      </c>
      <c r="K10" s="7">
        <f t="shared" si="3"/>
        <v>-31.010666666666665</v>
      </c>
      <c r="L10" s="7">
        <f t="shared" si="2"/>
        <v>2.2042384857187836E-2</v>
      </c>
      <c r="N10" s="6"/>
    </row>
    <row r="11" spans="1:18" x14ac:dyDescent="0.25">
      <c r="A11" t="s">
        <v>8</v>
      </c>
      <c r="B11" t="s">
        <v>4</v>
      </c>
      <c r="C11" s="5" t="s">
        <v>28</v>
      </c>
      <c r="D11" s="9">
        <v>42473</v>
      </c>
      <c r="E11" s="10" t="s">
        <v>19</v>
      </c>
      <c r="F11" s="12">
        <v>960</v>
      </c>
      <c r="G11">
        <v>5336.0801000000001</v>
      </c>
      <c r="H11" s="12">
        <v>0.53360799999999997</v>
      </c>
      <c r="I11" s="12">
        <v>0.6</v>
      </c>
      <c r="J11" s="12">
        <f t="shared" si="0"/>
        <v>307.35820799999999</v>
      </c>
      <c r="K11" s="7">
        <f t="shared" si="3"/>
        <v>-31.010666666666665</v>
      </c>
      <c r="L11" s="7">
        <f t="shared" si="2"/>
        <v>1.598785468588276E-2</v>
      </c>
      <c r="N11" s="6"/>
    </row>
    <row r="12" spans="1:18" x14ac:dyDescent="0.25">
      <c r="A12" t="s">
        <v>8</v>
      </c>
      <c r="B12" t="s">
        <v>4</v>
      </c>
      <c r="C12" s="5" t="s">
        <v>27</v>
      </c>
      <c r="D12" s="9">
        <v>42473</v>
      </c>
      <c r="E12" s="10" t="s">
        <v>19</v>
      </c>
      <c r="F12" s="12">
        <v>960</v>
      </c>
      <c r="G12">
        <v>2965.98</v>
      </c>
      <c r="H12" s="12">
        <v>0.29659799999999997</v>
      </c>
      <c r="I12" s="12">
        <v>0.6</v>
      </c>
      <c r="J12" s="12">
        <f t="shared" si="0"/>
        <v>170.84044799999995</v>
      </c>
      <c r="K12" s="7">
        <f t="shared" si="3"/>
        <v>-31.010666666666665</v>
      </c>
      <c r="L12" s="7">
        <f t="shared" si="2"/>
        <v>8.8866091290300264E-3</v>
      </c>
      <c r="N12" s="6"/>
    </row>
    <row r="13" spans="1:18" x14ac:dyDescent="0.25">
      <c r="A13" t="s">
        <v>8</v>
      </c>
      <c r="B13" t="s">
        <v>4</v>
      </c>
      <c r="C13" s="5" t="s">
        <v>26</v>
      </c>
      <c r="D13" s="9">
        <v>42473</v>
      </c>
      <c r="E13" s="10" t="s">
        <v>19</v>
      </c>
      <c r="F13" s="12">
        <v>960</v>
      </c>
      <c r="G13">
        <v>17448.599999999999</v>
      </c>
      <c r="H13" s="12">
        <v>1.7448600000000001</v>
      </c>
      <c r="I13" s="12">
        <v>0.6</v>
      </c>
      <c r="J13" s="12">
        <f t="shared" si="0"/>
        <v>1005.03936</v>
      </c>
      <c r="K13" s="7">
        <f t="shared" si="3"/>
        <v>-31.010666666666665</v>
      </c>
      <c r="L13" s="7">
        <f t="shared" si="2"/>
        <v>5.2279141480655079E-2</v>
      </c>
      <c r="N13" s="6"/>
    </row>
    <row r="14" spans="1:18" x14ac:dyDescent="0.25">
      <c r="A14" t="s">
        <v>9</v>
      </c>
      <c r="B14" t="s">
        <v>4</v>
      </c>
      <c r="C14" s="5" t="s">
        <v>33</v>
      </c>
      <c r="D14" s="9">
        <v>42474</v>
      </c>
      <c r="E14" s="10" t="s">
        <v>19</v>
      </c>
      <c r="F14" s="12">
        <v>960</v>
      </c>
      <c r="G14">
        <v>1165.4301</v>
      </c>
      <c r="H14" s="12">
        <v>0.11654299999999999</v>
      </c>
      <c r="I14" s="12">
        <v>0.6</v>
      </c>
      <c r="J14" s="12">
        <f t="shared" si="0"/>
        <v>67.128767999999994</v>
      </c>
      <c r="K14" s="7">
        <f>$B$68</f>
        <v>-31.58966666666667</v>
      </c>
      <c r="L14" s="7">
        <f t="shared" si="2"/>
        <v>3.4918377322994305E-3</v>
      </c>
      <c r="N14" s="6"/>
    </row>
    <row r="15" spans="1:18" x14ac:dyDescent="0.25">
      <c r="A15" t="s">
        <v>9</v>
      </c>
      <c r="B15" t="s">
        <v>4</v>
      </c>
      <c r="C15" s="5" t="s">
        <v>25</v>
      </c>
      <c r="D15" s="9">
        <v>42474</v>
      </c>
      <c r="E15" s="10" t="s">
        <v>19</v>
      </c>
      <c r="F15" s="12">
        <v>960</v>
      </c>
      <c r="G15">
        <v>24869.1</v>
      </c>
      <c r="H15" s="12">
        <v>2.48691</v>
      </c>
      <c r="I15" s="12">
        <v>0.6</v>
      </c>
      <c r="J15" s="12">
        <f t="shared" si="0"/>
        <v>1432.4601599999999</v>
      </c>
      <c r="K15" s="7">
        <f>$B$68</f>
        <v>-31.58966666666667</v>
      </c>
      <c r="L15" s="7">
        <f t="shared" si="2"/>
        <v>7.4512293100681956E-2</v>
      </c>
      <c r="N15" s="6">
        <v>8.8000000000000007</v>
      </c>
      <c r="O15" s="12">
        <v>120</v>
      </c>
      <c r="P15">
        <f>N15*O15</f>
        <v>1056</v>
      </c>
      <c r="Q15">
        <f>H15*P15</f>
        <v>2626.1769599999998</v>
      </c>
      <c r="R15">
        <f>(Q15-$J$15)/Q15</f>
        <v>0.45454545454545453</v>
      </c>
    </row>
    <row r="16" spans="1:18" x14ac:dyDescent="0.25">
      <c r="A16" t="s">
        <v>10</v>
      </c>
      <c r="B16" t="s">
        <v>3</v>
      </c>
      <c r="C16" s="5" t="s">
        <v>32</v>
      </c>
      <c r="D16" s="9">
        <v>42516</v>
      </c>
      <c r="E16" s="10" t="s">
        <v>20</v>
      </c>
      <c r="F16" s="12">
        <v>960</v>
      </c>
      <c r="G16">
        <v>6040.2201999999997</v>
      </c>
      <c r="H16" s="12">
        <v>0.60402199999999995</v>
      </c>
      <c r="I16" s="12">
        <v>1.2</v>
      </c>
      <c r="J16" s="12">
        <f t="shared" si="0"/>
        <v>695.8333439999999</v>
      </c>
      <c r="K16" s="7">
        <f t="shared" ref="K16:K19" si="4">$B$65</f>
        <v>-31.300166666666666</v>
      </c>
      <c r="L16" s="7">
        <f t="shared" si="2"/>
        <v>3.6195169349321134E-2</v>
      </c>
      <c r="N16" s="6">
        <v>6.4</v>
      </c>
      <c r="O16" s="12">
        <v>120</v>
      </c>
      <c r="P16">
        <f>N16*O16</f>
        <v>768</v>
      </c>
      <c r="Q16">
        <f>H15*P16</f>
        <v>1909.94688</v>
      </c>
      <c r="R16">
        <f>(Q16-$J$15)/Q16</f>
        <v>0.25000000000000006</v>
      </c>
    </row>
    <row r="17" spans="1:14" x14ac:dyDescent="0.25">
      <c r="A17" s="4" t="s">
        <v>11</v>
      </c>
      <c r="B17" t="s">
        <v>3</v>
      </c>
      <c r="C17" s="5" t="s">
        <v>34</v>
      </c>
      <c r="D17" s="9">
        <v>42516</v>
      </c>
      <c r="E17" s="10" t="s">
        <v>19</v>
      </c>
      <c r="F17" s="12">
        <v>960</v>
      </c>
      <c r="G17">
        <v>10682.2</v>
      </c>
      <c r="H17" s="12">
        <v>1.0682199999999999</v>
      </c>
      <c r="I17" s="12">
        <v>1.2</v>
      </c>
      <c r="J17" s="12">
        <f t="shared" si="0"/>
        <v>1230.58944</v>
      </c>
      <c r="K17" s="7">
        <f t="shared" si="4"/>
        <v>-31.300166666666666</v>
      </c>
      <c r="L17" s="7">
        <f t="shared" si="2"/>
        <v>6.4011582032329664E-2</v>
      </c>
      <c r="N17" s="6"/>
    </row>
    <row r="18" spans="1:14" x14ac:dyDescent="0.25">
      <c r="A18" t="s">
        <v>10</v>
      </c>
      <c r="B18" t="s">
        <v>3</v>
      </c>
      <c r="C18" s="5" t="s">
        <v>12</v>
      </c>
      <c r="D18" s="9">
        <v>42516</v>
      </c>
      <c r="E18" s="10" t="s">
        <v>20</v>
      </c>
      <c r="F18" s="12">
        <v>960</v>
      </c>
      <c r="G18">
        <v>17140.800999999999</v>
      </c>
      <c r="H18" s="12">
        <v>1.71408</v>
      </c>
      <c r="I18" s="12">
        <v>1.2</v>
      </c>
      <c r="J18" s="12">
        <f t="shared" si="0"/>
        <v>1974.6201599999999</v>
      </c>
      <c r="K18" s="7">
        <f t="shared" si="4"/>
        <v>-31.300166666666666</v>
      </c>
      <c r="L18" s="7">
        <f t="shared" si="2"/>
        <v>0.10271383472503381</v>
      </c>
      <c r="N18" s="6"/>
    </row>
    <row r="19" spans="1:14" x14ac:dyDescent="0.25">
      <c r="A19" t="s">
        <v>13</v>
      </c>
      <c r="B19" t="s">
        <v>3</v>
      </c>
      <c r="C19" s="5" t="s">
        <v>14</v>
      </c>
      <c r="D19" s="9">
        <v>42516</v>
      </c>
      <c r="E19" s="10" t="s">
        <v>20</v>
      </c>
      <c r="F19" s="12">
        <v>960</v>
      </c>
      <c r="G19">
        <v>9383.6396000000004</v>
      </c>
      <c r="H19" s="12">
        <v>0.93836399999999998</v>
      </c>
      <c r="I19" s="12">
        <v>1.2</v>
      </c>
      <c r="J19" s="12">
        <f t="shared" si="0"/>
        <v>1080.995328</v>
      </c>
      <c r="K19" s="7">
        <f t="shared" si="4"/>
        <v>-31.300166666666666</v>
      </c>
      <c r="L19" s="7">
        <f t="shared" si="2"/>
        <v>5.6230143755204909E-2</v>
      </c>
      <c r="N19" s="6"/>
    </row>
    <row r="20" spans="1:14" x14ac:dyDescent="0.25">
      <c r="J20" s="13">
        <f>SUM(J2:J19)</f>
        <v>19224.480960000004</v>
      </c>
      <c r="L20" s="8">
        <f>K2*(SUM(L2:L7))+K8*(SUM(L8:L13))+K14*(SUM(L14:L15))+K16*(SUM(L16:L19))</f>
        <v>-31.273882918814358</v>
      </c>
    </row>
    <row r="28" spans="1:14" x14ac:dyDescent="0.25">
      <c r="A28" s="22" t="s">
        <v>92</v>
      </c>
      <c r="B28" s="22" t="s">
        <v>93</v>
      </c>
      <c r="C28" s="22">
        <v>-32.191000000000003</v>
      </c>
    </row>
    <row r="29" spans="1:14" x14ac:dyDescent="0.25">
      <c r="A29" s="22" t="s">
        <v>92</v>
      </c>
      <c r="B29" s="22" t="s">
        <v>94</v>
      </c>
      <c r="C29" s="22">
        <v>-31.920999999999999</v>
      </c>
    </row>
    <row r="30" spans="1:14" x14ac:dyDescent="0.25">
      <c r="A30" s="22" t="s">
        <v>92</v>
      </c>
      <c r="B30" s="22" t="s">
        <v>95</v>
      </c>
      <c r="C30" s="22">
        <v>-31.635999999999999</v>
      </c>
    </row>
    <row r="31" spans="1:14" x14ac:dyDescent="0.25">
      <c r="A31" s="22" t="s">
        <v>92</v>
      </c>
      <c r="B31" s="22" t="s">
        <v>96</v>
      </c>
      <c r="C31" s="22">
        <v>-31.654</v>
      </c>
    </row>
    <row r="32" spans="1:14" x14ac:dyDescent="0.25">
      <c r="A32" s="22" t="s">
        <v>92</v>
      </c>
      <c r="B32" s="22" t="s">
        <v>97</v>
      </c>
      <c r="C32" s="22">
        <v>-31.384</v>
      </c>
    </row>
    <row r="33" spans="1:3" x14ac:dyDescent="0.25">
      <c r="A33" s="22" t="s">
        <v>92</v>
      </c>
      <c r="B33" s="22" t="s">
        <v>98</v>
      </c>
      <c r="C33" s="22">
        <v>-31.241</v>
      </c>
    </row>
    <row r="34" spans="1:3" x14ac:dyDescent="0.25">
      <c r="A34" s="22" t="s">
        <v>99</v>
      </c>
      <c r="B34" s="22" t="s">
        <v>100</v>
      </c>
      <c r="C34" s="22">
        <v>-31.405000000000001</v>
      </c>
    </row>
    <row r="35" spans="1:3" x14ac:dyDescent="0.25">
      <c r="A35" s="22" t="s">
        <v>99</v>
      </c>
      <c r="B35" s="22" t="s">
        <v>101</v>
      </c>
      <c r="C35" s="22">
        <v>-31.274999999999999</v>
      </c>
    </row>
    <row r="36" spans="1:3" x14ac:dyDescent="0.25">
      <c r="A36" s="22" t="s">
        <v>99</v>
      </c>
      <c r="B36" s="22" t="s">
        <v>102</v>
      </c>
      <c r="C36" s="22">
        <v>-31.11</v>
      </c>
    </row>
    <row r="37" spans="1:3" x14ac:dyDescent="0.25">
      <c r="A37" s="22" t="s">
        <v>99</v>
      </c>
      <c r="B37" s="22" t="s">
        <v>103</v>
      </c>
      <c r="C37" s="22">
        <v>-30.538</v>
      </c>
    </row>
    <row r="38" spans="1:3" x14ac:dyDescent="0.25">
      <c r="A38" s="22" t="s">
        <v>99</v>
      </c>
      <c r="B38" s="22" t="s">
        <v>104</v>
      </c>
      <c r="C38" s="22">
        <v>-30.645</v>
      </c>
    </row>
    <row r="39" spans="1:3" x14ac:dyDescent="0.25">
      <c r="A39" s="22" t="s">
        <v>99</v>
      </c>
      <c r="B39" s="22" t="s">
        <v>105</v>
      </c>
      <c r="C39" s="22">
        <v>-30.602</v>
      </c>
    </row>
    <row r="40" spans="1:3" x14ac:dyDescent="0.25">
      <c r="A40" s="23"/>
      <c r="B40" s="23"/>
      <c r="C40" s="23"/>
    </row>
    <row r="41" spans="1:3" x14ac:dyDescent="0.25">
      <c r="A41" s="24" t="s">
        <v>106</v>
      </c>
      <c r="B41" s="24" t="s">
        <v>107</v>
      </c>
      <c r="C41" s="25">
        <v>-31.332000000000001</v>
      </c>
    </row>
    <row r="42" spans="1:3" x14ac:dyDescent="0.25">
      <c r="A42" s="24" t="s">
        <v>108</v>
      </c>
      <c r="B42" s="24" t="s">
        <v>109</v>
      </c>
      <c r="C42" s="25">
        <v>-31.608000000000001</v>
      </c>
    </row>
    <row r="43" spans="1:3" x14ac:dyDescent="0.25">
      <c r="A43" s="22" t="s">
        <v>110</v>
      </c>
      <c r="B43" s="22" t="s">
        <v>111</v>
      </c>
      <c r="C43" s="22">
        <v>-30.617999999999999</v>
      </c>
    </row>
    <row r="44" spans="1:3" x14ac:dyDescent="0.25">
      <c r="A44" s="22" t="s">
        <v>110</v>
      </c>
      <c r="B44" s="22" t="s">
        <v>112</v>
      </c>
      <c r="C44" s="22">
        <v>-30.74</v>
      </c>
    </row>
    <row r="45" spans="1:3" x14ac:dyDescent="0.25">
      <c r="A45" s="22" t="s">
        <v>110</v>
      </c>
      <c r="B45" s="22" t="s">
        <v>113</v>
      </c>
      <c r="C45" s="22">
        <v>-30.916</v>
      </c>
    </row>
    <row r="46" spans="1:3" x14ac:dyDescent="0.25">
      <c r="A46" s="23"/>
      <c r="B46" s="23"/>
      <c r="C46" s="23"/>
    </row>
    <row r="47" spans="1:3" x14ac:dyDescent="0.25">
      <c r="A47" s="23"/>
      <c r="B47" s="23"/>
      <c r="C47" s="23"/>
    </row>
    <row r="48" spans="1:3" x14ac:dyDescent="0.25">
      <c r="A48" s="23"/>
      <c r="B48" s="23"/>
      <c r="C48" s="23"/>
    </row>
    <row r="49" spans="1:3" x14ac:dyDescent="0.25">
      <c r="A49" s="26"/>
      <c r="B49" s="27" t="s">
        <v>114</v>
      </c>
      <c r="C49" s="27" t="s">
        <v>115</v>
      </c>
    </row>
    <row r="50" spans="1:3" x14ac:dyDescent="0.25">
      <c r="A50" s="28" t="s">
        <v>116</v>
      </c>
      <c r="B50" s="29">
        <f>AVERAGE(C41:C42)</f>
        <v>-31.47</v>
      </c>
      <c r="C50" s="29">
        <f>STDEVA(C41:C42)</f>
        <v>0.19516147160748695</v>
      </c>
    </row>
    <row r="51" spans="1:3" x14ac:dyDescent="0.25">
      <c r="A51" s="28" t="s">
        <v>117</v>
      </c>
      <c r="B51" s="29">
        <f>AVERAGE(C43:C45)</f>
        <v>-30.757999999999999</v>
      </c>
      <c r="C51" s="29">
        <f>STDEVA(C43:C45)</f>
        <v>0.149813217040421</v>
      </c>
    </row>
    <row r="52" spans="1:3" x14ac:dyDescent="0.25">
      <c r="A52" s="23"/>
      <c r="B52" s="30"/>
      <c r="C52" s="30"/>
    </row>
    <row r="53" spans="1:3" x14ac:dyDescent="0.25">
      <c r="A53" s="26"/>
      <c r="B53" s="27" t="s">
        <v>8</v>
      </c>
      <c r="C53" s="27" t="s">
        <v>115</v>
      </c>
    </row>
    <row r="54" spans="1:3" x14ac:dyDescent="0.25">
      <c r="A54" s="28" t="s">
        <v>116</v>
      </c>
      <c r="B54" s="29">
        <f>AVERAGE(C31:C33)</f>
        <v>-31.426333333333332</v>
      </c>
      <c r="C54" s="29">
        <f>STDEVA(C31:C33)</f>
        <v>0.20972919046554622</v>
      </c>
    </row>
    <row r="55" spans="1:3" x14ac:dyDescent="0.25">
      <c r="A55" s="28" t="s">
        <v>117</v>
      </c>
      <c r="B55" s="29">
        <f>AVERAGE(C37:C39)</f>
        <v>-30.594999999999999</v>
      </c>
      <c r="C55" s="29">
        <f>STDEVA(C37:C39)</f>
        <v>5.3842362503886902E-2</v>
      </c>
    </row>
    <row r="56" spans="1:3" x14ac:dyDescent="0.25">
      <c r="A56" s="23"/>
      <c r="B56" s="30"/>
      <c r="C56" s="30"/>
    </row>
    <row r="57" spans="1:3" x14ac:dyDescent="0.25">
      <c r="A57" s="26"/>
      <c r="B57" s="27" t="s">
        <v>9</v>
      </c>
      <c r="C57" s="27" t="s">
        <v>115</v>
      </c>
    </row>
    <row r="58" spans="1:3" x14ac:dyDescent="0.25">
      <c r="A58" s="28" t="s">
        <v>116</v>
      </c>
      <c r="B58" s="29">
        <f>AVERAGE(C28:C30)</f>
        <v>-31.915999999999997</v>
      </c>
      <c r="C58" s="29">
        <f>STDEVA(C28:C30)</f>
        <v>0.27753378172755999</v>
      </c>
    </row>
    <row r="59" spans="1:3" x14ac:dyDescent="0.25">
      <c r="A59" s="28" t="s">
        <v>117</v>
      </c>
      <c r="B59" s="29">
        <f>AVERAGE(C34:C36)</f>
        <v>-31.263333333333332</v>
      </c>
      <c r="C59" s="29">
        <f>STDEVA(C34:C36)</f>
        <v>0.14784564022430138</v>
      </c>
    </row>
    <row r="60" spans="1:3" x14ac:dyDescent="0.25">
      <c r="A60" s="23"/>
      <c r="B60" s="23"/>
      <c r="C60" s="23"/>
    </row>
    <row r="61" spans="1:3" x14ac:dyDescent="0.25">
      <c r="A61" s="31"/>
      <c r="B61" s="32"/>
      <c r="C61" s="30"/>
    </row>
    <row r="62" spans="1:3" x14ac:dyDescent="0.25">
      <c r="A62" s="31"/>
      <c r="B62" s="30"/>
      <c r="C62" s="30"/>
    </row>
    <row r="63" spans="1:3" x14ac:dyDescent="0.25">
      <c r="A63" s="23"/>
      <c r="B63" s="23"/>
      <c r="C63" s="23"/>
    </row>
    <row r="64" spans="1:3" ht="30" x14ac:dyDescent="0.25">
      <c r="A64" s="33" t="s">
        <v>118</v>
      </c>
      <c r="B64" s="30">
        <f>AVERAGE(C41:C45)</f>
        <v>-31.0428</v>
      </c>
      <c r="C64" s="30">
        <f>STDEVA(C41:C45)</f>
        <v>0.41572490904443138</v>
      </c>
    </row>
    <row r="65" spans="1:3" ht="45" x14ac:dyDescent="0.25">
      <c r="A65" s="33" t="s">
        <v>119</v>
      </c>
      <c r="B65" s="30">
        <f>AVERAGE(C28:C39)</f>
        <v>-31.300166666666666</v>
      </c>
      <c r="C65" s="30">
        <f>STDEVA(C28:C39)</f>
        <v>0.51986831083079188</v>
      </c>
    </row>
    <row r="66" spans="1:3" x14ac:dyDescent="0.25">
      <c r="A66" s="34"/>
      <c r="B66" s="23"/>
      <c r="C66" s="23"/>
    </row>
    <row r="67" spans="1:3" ht="45" x14ac:dyDescent="0.25">
      <c r="A67" s="33" t="s">
        <v>120</v>
      </c>
      <c r="B67" s="30">
        <f>AVERAGE(C31:C33,C37:C39)</f>
        <v>-31.010666666666665</v>
      </c>
      <c r="C67" s="30">
        <f>STDEVA(C31:C33,C37:C39)</f>
        <v>0.47548781968276188</v>
      </c>
    </row>
    <row r="68" spans="1:3" ht="45" x14ac:dyDescent="0.25">
      <c r="A68" s="33" t="s">
        <v>121</v>
      </c>
      <c r="B68" s="30">
        <f>AVERAGE(C28:C30,C34:C36)</f>
        <v>-31.58966666666667</v>
      </c>
      <c r="C68" s="30">
        <f>STDEVA(C28:C30,C34:C36)</f>
        <v>0.40907880251446344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U1048576"/>
    </sheetView>
  </sheetViews>
  <sheetFormatPr baseColWidth="10" defaultColWidth="9.140625" defaultRowHeight="15" x14ac:dyDescent="0.25"/>
  <sheetData>
    <row r="1" s="17" customFormat="1" x14ac:dyDescent="0.25"/>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9" workbookViewId="0">
      <selection activeCell="F7" sqref="F7"/>
    </sheetView>
  </sheetViews>
  <sheetFormatPr baseColWidth="10" defaultColWidth="9.140625" defaultRowHeight="15" x14ac:dyDescent="0.25"/>
  <cols>
    <col min="1" max="3" width="14.42578125" customWidth="1"/>
  </cols>
  <sheetData>
    <row r="1" spans="1:3" ht="14.25" x14ac:dyDescent="0.45">
      <c r="A1" t="s">
        <v>122</v>
      </c>
      <c r="B1" t="s">
        <v>172</v>
      </c>
      <c r="C1" t="s">
        <v>173</v>
      </c>
    </row>
    <row r="2" spans="1:3" ht="14.25" x14ac:dyDescent="0.45">
      <c r="A2" t="s">
        <v>123</v>
      </c>
      <c r="B2">
        <v>1.1927463414634101</v>
      </c>
      <c r="C2">
        <v>48.9026</v>
      </c>
    </row>
    <row r="3" spans="1:3" ht="14.25" x14ac:dyDescent="0.45">
      <c r="A3" t="s">
        <v>124</v>
      </c>
      <c r="B3" t="e">
        <v>#N/A</v>
      </c>
      <c r="C3" t="e">
        <v>#N/A</v>
      </c>
    </row>
    <row r="4" spans="1:3" ht="14.25" x14ac:dyDescent="0.45">
      <c r="A4" t="s">
        <v>125</v>
      </c>
      <c r="B4" t="e">
        <v>#N/A</v>
      </c>
      <c r="C4" t="e">
        <v>#N/A</v>
      </c>
    </row>
    <row r="5" spans="1:3" ht="14.25" x14ac:dyDescent="0.45">
      <c r="A5" t="s">
        <v>126</v>
      </c>
      <c r="B5">
        <v>22.929067599067601</v>
      </c>
      <c r="C5">
        <v>327.88566666666702</v>
      </c>
    </row>
    <row r="6" spans="1:3" ht="14.25" x14ac:dyDescent="0.45">
      <c r="A6" t="s">
        <v>127</v>
      </c>
      <c r="B6">
        <v>15.5211527377522</v>
      </c>
      <c r="C6">
        <v>359.05599999999998</v>
      </c>
    </row>
    <row r="7" spans="1:3" ht="14.25" x14ac:dyDescent="0.45">
      <c r="A7" t="s">
        <v>128</v>
      </c>
      <c r="B7">
        <v>9.0848352941176493</v>
      </c>
      <c r="C7">
        <v>875.17246666666699</v>
      </c>
    </row>
    <row r="8" spans="1:3" ht="14.25" x14ac:dyDescent="0.45">
      <c r="A8" t="s">
        <v>129</v>
      </c>
      <c r="B8">
        <v>14.6630900140647</v>
      </c>
      <c r="C8">
        <v>347.51523333333301</v>
      </c>
    </row>
    <row r="9" spans="1:3" ht="14.25" x14ac:dyDescent="0.45">
      <c r="A9" t="s">
        <v>130</v>
      </c>
      <c r="B9">
        <v>10.501024679170801</v>
      </c>
      <c r="C9">
        <v>354.58460000000002</v>
      </c>
    </row>
    <row r="10" spans="1:3" ht="14.25" x14ac:dyDescent="0.45">
      <c r="A10" t="s">
        <v>131</v>
      </c>
      <c r="B10">
        <v>14.6630900140647</v>
      </c>
      <c r="C10">
        <v>347.51523333333301</v>
      </c>
    </row>
    <row r="11" spans="1:3" ht="14.25" x14ac:dyDescent="0.45">
      <c r="A11" t="s">
        <v>132</v>
      </c>
      <c r="B11">
        <v>15.2143405238829</v>
      </c>
      <c r="C11">
        <v>329.13690000000003</v>
      </c>
    </row>
    <row r="12" spans="1:3" ht="14.25" x14ac:dyDescent="0.45">
      <c r="A12" t="s">
        <v>133</v>
      </c>
      <c r="B12">
        <v>49.454896551724097</v>
      </c>
      <c r="C12">
        <v>717.096</v>
      </c>
    </row>
    <row r="13" spans="1:3" ht="14.25" x14ac:dyDescent="0.45">
      <c r="A13" t="s">
        <v>134</v>
      </c>
      <c r="B13">
        <v>50.090249999999997</v>
      </c>
      <c r="C13">
        <v>1776.5342000000001</v>
      </c>
    </row>
    <row r="14" spans="1:3" ht="14.25" x14ac:dyDescent="0.45">
      <c r="A14" t="s">
        <v>135</v>
      </c>
      <c r="B14">
        <v>9.9096296703296698</v>
      </c>
      <c r="C14">
        <v>601.18420000000003</v>
      </c>
    </row>
    <row r="15" spans="1:3" ht="14.25" x14ac:dyDescent="0.45">
      <c r="A15" t="s">
        <v>136</v>
      </c>
      <c r="B15">
        <v>7.1934170661553196</v>
      </c>
      <c r="C15">
        <v>250.091133333333</v>
      </c>
    </row>
    <row r="16" spans="1:3" ht="14.25" x14ac:dyDescent="0.45">
      <c r="A16" t="s">
        <v>137</v>
      </c>
      <c r="B16">
        <v>6.3953190476190498</v>
      </c>
      <c r="C16">
        <v>537.20680000000004</v>
      </c>
    </row>
    <row r="17" spans="1:3" ht="14.25" x14ac:dyDescent="0.45">
      <c r="A17" t="s">
        <v>138</v>
      </c>
      <c r="B17">
        <v>7.8537951234017296</v>
      </c>
      <c r="C17">
        <v>880.410433333333</v>
      </c>
    </row>
    <row r="18" spans="1:3" ht="14.25" x14ac:dyDescent="0.45">
      <c r="A18" t="s">
        <v>139</v>
      </c>
      <c r="B18">
        <v>18.2959898511502</v>
      </c>
      <c r="C18">
        <v>901.38243333333298</v>
      </c>
    </row>
    <row r="19" spans="1:3" ht="14.25" x14ac:dyDescent="0.45">
      <c r="A19" t="s">
        <v>140</v>
      </c>
      <c r="B19">
        <v>12.551806451612901</v>
      </c>
      <c r="C19">
        <v>51.880800000000001</v>
      </c>
    </row>
    <row r="20" spans="1:3" ht="14.25" x14ac:dyDescent="0.45">
      <c r="A20" t="s">
        <v>141</v>
      </c>
      <c r="B20">
        <v>4.6125928446005302</v>
      </c>
      <c r="C20">
        <v>700.4991</v>
      </c>
    </row>
    <row r="21" spans="1:3" ht="14.25" x14ac:dyDescent="0.45">
      <c r="A21" t="s">
        <v>142</v>
      </c>
      <c r="B21">
        <v>9.0648009797917908</v>
      </c>
      <c r="C21">
        <v>493.42733333333302</v>
      </c>
    </row>
    <row r="22" spans="1:3" ht="14.25" x14ac:dyDescent="0.45">
      <c r="A22" t="s">
        <v>143</v>
      </c>
      <c r="B22">
        <v>279.06569620253202</v>
      </c>
      <c r="C22">
        <v>734.87300000000005</v>
      </c>
    </row>
    <row r="23" spans="1:3" ht="14.25" x14ac:dyDescent="0.45">
      <c r="A23" t="s">
        <v>144</v>
      </c>
      <c r="B23">
        <v>168.555872727273</v>
      </c>
      <c r="C23">
        <v>618.03819999999996</v>
      </c>
    </row>
    <row r="24" spans="1:3" ht="14.25" x14ac:dyDescent="0.45">
      <c r="A24" t="s">
        <v>145</v>
      </c>
      <c r="B24">
        <v>96.368576484018305</v>
      </c>
      <c r="C24">
        <v>2813.96243333333</v>
      </c>
    </row>
    <row r="25" spans="1:3" ht="14.25" x14ac:dyDescent="0.45">
      <c r="A25" t="s">
        <v>146</v>
      </c>
      <c r="B25">
        <v>25.510282818532801</v>
      </c>
      <c r="C25">
        <v>1761.9102</v>
      </c>
    </row>
    <row r="26" spans="1:3" ht="14.25" x14ac:dyDescent="0.45">
      <c r="A26" t="s">
        <v>147</v>
      </c>
      <c r="B26">
        <v>7.3193554104477601</v>
      </c>
      <c r="C26">
        <v>261.54496666666699</v>
      </c>
    </row>
    <row r="27" spans="1:3" ht="14.25" x14ac:dyDescent="0.45">
      <c r="A27" t="s">
        <v>148</v>
      </c>
      <c r="B27">
        <v>5.1825146804835898</v>
      </c>
      <c r="C27">
        <v>700.157733333333</v>
      </c>
    </row>
    <row r="28" spans="1:3" ht="14.25" x14ac:dyDescent="0.45">
      <c r="A28" t="s">
        <v>149</v>
      </c>
      <c r="B28">
        <v>3.6774543650793601</v>
      </c>
      <c r="C28">
        <v>123.56246666666701</v>
      </c>
    </row>
    <row r="29" spans="1:3" ht="14.25" x14ac:dyDescent="0.45">
      <c r="A29" t="s">
        <v>150</v>
      </c>
      <c r="B29">
        <v>3.82944529505582</v>
      </c>
      <c r="C29">
        <v>400.17703333333299</v>
      </c>
    </row>
    <row r="30" spans="1:3" ht="14.25" x14ac:dyDescent="0.45">
      <c r="A30" t="s">
        <v>151</v>
      </c>
      <c r="B30">
        <v>16.914756143667301</v>
      </c>
      <c r="C30">
        <v>298.26353333333299</v>
      </c>
    </row>
    <row r="31" spans="1:3" ht="14.25" x14ac:dyDescent="0.45">
      <c r="A31" t="s">
        <v>152</v>
      </c>
      <c r="B31">
        <v>92.597392670157106</v>
      </c>
      <c r="C31">
        <v>589.53673333333302</v>
      </c>
    </row>
    <row r="32" spans="1:3" ht="14.25" x14ac:dyDescent="0.45">
      <c r="A32" t="s">
        <v>153</v>
      </c>
      <c r="B32">
        <v>87.419949367088606</v>
      </c>
      <c r="C32">
        <v>460.41173333333302</v>
      </c>
    </row>
    <row r="33" spans="1:3" ht="14.25" x14ac:dyDescent="0.45">
      <c r="A33" t="s">
        <v>154</v>
      </c>
      <c r="B33">
        <v>19.3708407017544</v>
      </c>
      <c r="C33">
        <v>920.11493333333306</v>
      </c>
    </row>
    <row r="34" spans="1:3" ht="14.25" x14ac:dyDescent="0.45">
      <c r="A34" t="s">
        <v>155</v>
      </c>
      <c r="B34">
        <v>25.910021645021601</v>
      </c>
      <c r="C34">
        <v>598.52149999999995</v>
      </c>
    </row>
    <row r="35" spans="1:3" ht="14.25" x14ac:dyDescent="0.45">
      <c r="A35" t="s">
        <v>156</v>
      </c>
      <c r="B35">
        <v>40.006551999999999</v>
      </c>
      <c r="C35">
        <v>500.08190000000002</v>
      </c>
    </row>
    <row r="36" spans="1:3" ht="14.25" x14ac:dyDescent="0.45">
      <c r="A36" t="s">
        <v>157</v>
      </c>
      <c r="B36">
        <v>95.345466237942105</v>
      </c>
      <c r="C36">
        <v>988.41466666666702</v>
      </c>
    </row>
    <row r="37" spans="1:3" x14ac:dyDescent="0.25">
      <c r="A37" t="s">
        <v>158</v>
      </c>
      <c r="B37">
        <v>134.12222962963</v>
      </c>
      <c r="C37">
        <v>603.55003333333298</v>
      </c>
    </row>
    <row r="38" spans="1:3" x14ac:dyDescent="0.25">
      <c r="A38" t="s">
        <v>159</v>
      </c>
      <c r="B38">
        <v>13.8367752161383</v>
      </c>
      <c r="C38">
        <v>800.22683333333305</v>
      </c>
    </row>
    <row r="39" spans="1:3" x14ac:dyDescent="0.25">
      <c r="A39" t="s">
        <v>160</v>
      </c>
      <c r="B39">
        <v>8.6741354234001307</v>
      </c>
      <c r="C39">
        <v>894.59249999999997</v>
      </c>
    </row>
    <row r="40" spans="1:3" x14ac:dyDescent="0.25">
      <c r="A40" t="s">
        <v>161</v>
      </c>
      <c r="B40">
        <v>349.01137499999999</v>
      </c>
      <c r="C40">
        <v>186.13939999999999</v>
      </c>
    </row>
    <row r="41" spans="1:3" x14ac:dyDescent="0.25">
      <c r="A41" t="s">
        <v>162</v>
      </c>
      <c r="B41">
        <v>52.612982547992999</v>
      </c>
      <c r="C41">
        <v>1004.9079666666699</v>
      </c>
    </row>
    <row r="42" spans="1:3" x14ac:dyDescent="0.25">
      <c r="A42" t="s">
        <v>163</v>
      </c>
      <c r="B42">
        <v>24.932760387811602</v>
      </c>
      <c r="C42">
        <v>600.04843333333304</v>
      </c>
    </row>
    <row r="43" spans="1:3" x14ac:dyDescent="0.25">
      <c r="A43" t="s">
        <v>164</v>
      </c>
      <c r="B43">
        <v>82.335508256880701</v>
      </c>
      <c r="C43">
        <v>1495.7617333333301</v>
      </c>
    </row>
    <row r="44" spans="1:3" x14ac:dyDescent="0.25">
      <c r="A44" t="s">
        <v>165</v>
      </c>
      <c r="B44">
        <v>70.826411764705895</v>
      </c>
      <c r="C44">
        <v>602.02449999999999</v>
      </c>
    </row>
    <row r="45" spans="1:3" x14ac:dyDescent="0.25">
      <c r="A45" t="s">
        <v>166</v>
      </c>
      <c r="B45">
        <v>7.6403894679100404</v>
      </c>
      <c r="C45">
        <v>464.28100000000001</v>
      </c>
    </row>
    <row r="46" spans="1:3" x14ac:dyDescent="0.25">
      <c r="A46" t="s">
        <v>167</v>
      </c>
      <c r="B46">
        <v>35.309114173228302</v>
      </c>
      <c r="C46">
        <v>597.90099999999995</v>
      </c>
    </row>
    <row r="47" spans="1:3" x14ac:dyDescent="0.25">
      <c r="A47" t="s">
        <v>168</v>
      </c>
      <c r="B47">
        <v>13.723085766423401</v>
      </c>
      <c r="C47">
        <v>1002.70013333333</v>
      </c>
    </row>
    <row r="48" spans="1:3" x14ac:dyDescent="0.25">
      <c r="A48" t="s">
        <v>169</v>
      </c>
      <c r="B48">
        <v>6.2683281389136196</v>
      </c>
      <c r="C48">
        <v>938.57766666666703</v>
      </c>
    </row>
    <row r="49" spans="1:3" x14ac:dyDescent="0.25">
      <c r="A49" t="s">
        <v>170</v>
      </c>
      <c r="B49">
        <v>2.7233100000000001</v>
      </c>
      <c r="C49">
        <v>490.19580000000002</v>
      </c>
    </row>
    <row r="50" spans="1:3" x14ac:dyDescent="0.25">
      <c r="A50" t="s">
        <v>171</v>
      </c>
      <c r="B50" t="e">
        <v>#N/A</v>
      </c>
      <c r="C50" t="e">
        <v>#N/A</v>
      </c>
    </row>
    <row r="51" spans="1:3" x14ac:dyDescent="0.25">
      <c r="A51" t="e">
        <v>#N/A</v>
      </c>
      <c r="B51" t="e">
        <v>#N/A</v>
      </c>
      <c r="C51" t="e">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MassAll</vt:lpstr>
      <vt:lpstr>MassOut</vt:lpstr>
      <vt:lpstr>Mapp</vt:lpstr>
      <vt:lpstr>Mres</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PabloAZ</dc:creator>
  <cp:lastModifiedBy>pablo alvarez</cp:lastModifiedBy>
  <dcterms:created xsi:type="dcterms:W3CDTF">2016-10-24T07:57:35Z</dcterms:created>
  <dcterms:modified xsi:type="dcterms:W3CDTF">2016-11-01T17:01:58Z</dcterms:modified>
</cp:coreProperties>
</file>