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URFACE\Desktop\CLIENTS\MES\"/>
    </mc:Choice>
  </mc:AlternateContent>
  <xr:revisionPtr revIDLastSave="0" documentId="13_ncr:1_{3DCD8164-6A11-41C8-9F2C-2CF8D74B477A}" xr6:coauthVersionLast="45" xr6:coauthVersionMax="45" xr10:uidLastSave="{00000000-0000-0000-0000-000000000000}"/>
  <bookViews>
    <workbookView xWindow="-110" yWindow="-110" windowWidth="22780" windowHeight="14540" tabRatio="943" activeTab="8" xr2:uid="{107684F3-355D-460A-8F83-03C496504E5B}"/>
  </bookViews>
  <sheets>
    <sheet name="COV" sheetId="1" r:id="rId1"/>
    <sheet name="CONTENTS" sheetId="2" r:id="rId2"/>
    <sheet name="COR INF" sheetId="3" r:id="rId3"/>
    <sheet name="DR1" sheetId="4" r:id="rId4"/>
    <sheet name="DR2" sheetId="5" r:id="rId5"/>
    <sheet name="P &amp; L" sheetId="6" r:id="rId6"/>
    <sheet name="SFP" sheetId="7" r:id="rId7"/>
    <sheet name="SCE" sheetId="8" r:id="rId8"/>
    <sheet name="SCF" sheetId="9" r:id="rId9"/>
    <sheet name="N1-2" sheetId="10" r:id="rId10"/>
    <sheet name="N 3-5" sheetId="11" r:id="rId11"/>
    <sheet name="N6A" sheetId="12" r:id="rId12"/>
    <sheet name="N6" sheetId="13" r:id="rId13"/>
    <sheet name="N7-11" sheetId="14" r:id="rId14"/>
    <sheet name="N12-16" sheetId="15" r:id="rId15"/>
    <sheet name="N17-21" sheetId="26" r:id="rId16"/>
    <sheet name="P &amp; L SCH" sheetId="16" r:id="rId17"/>
    <sheet name="Capital Allowance" sheetId="27" r:id="rId18"/>
    <sheet name="Sheet1" sheetId="28" r:id="rId19"/>
    <sheet name="SFP (2)" sheetId="17" state="hidden" r:id="rId20"/>
    <sheet name="SPnL" sheetId="18" state="hidden" r:id="rId21"/>
    <sheet name="CIE" sheetId="19" state="hidden" r:id="rId22"/>
    <sheet name="CASHFLOW" sheetId="20" state="hidden" r:id="rId23"/>
    <sheet name="NOTE 4-9" sheetId="21" state="hidden" r:id="rId24"/>
    <sheet name="NOTE 10-13" sheetId="22" state="hidden" r:id="rId25"/>
    <sheet name="NOTE 14-17" sheetId="23" state="hidden" r:id="rId26"/>
    <sheet name="PPE" sheetId="24" state="hidden" r:id="rId27"/>
    <sheet name="TAX" sheetId="25" state="hidden" r:id="rId28"/>
  </sheets>
  <externalReferences>
    <externalReference r:id="rId29"/>
    <externalReference r:id="rId30"/>
    <externalReference r:id="rId31"/>
    <externalReference r:id="rId32"/>
  </externalReferences>
  <definedNames>
    <definedName name="_xlnm.Print_Area" localSheetId="10">'N 3-5'!$A$1:$K$61</definedName>
    <definedName name="_xlnm.Print_Area" localSheetId="13">'N7-11'!$A$2:$J$57</definedName>
    <definedName name="_xlnm.Print_Area" localSheetId="5">'P &amp; L'!$A$1:$H$36</definedName>
    <definedName name="_xlnm.Print_Area" localSheetId="8">SCF!$A$1:$H$57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5" i="14" l="1"/>
  <c r="H31" i="9"/>
  <c r="H35" i="9"/>
  <c r="M10" i="11"/>
  <c r="H21" i="14"/>
  <c r="G43" i="7"/>
  <c r="H9" i="14"/>
  <c r="G16" i="7"/>
  <c r="H55" i="11"/>
  <c r="I43" i="7"/>
  <c r="D55" i="11"/>
  <c r="F13" i="27"/>
  <c r="E13" i="27"/>
  <c r="D13" i="27"/>
  <c r="C13" i="27"/>
  <c r="H16" i="12"/>
  <c r="H10" i="26" l="1"/>
  <c r="J21" i="11"/>
  <c r="H29" i="12"/>
  <c r="H30" i="12"/>
  <c r="H35" i="12"/>
  <c r="H28" i="12"/>
  <c r="B16" i="12"/>
  <c r="L28" i="13"/>
  <c r="L29" i="13"/>
  <c r="L30" i="13"/>
  <c r="F32" i="12" s="1"/>
  <c r="L31" i="13"/>
  <c r="L32" i="13"/>
  <c r="L33" i="13"/>
  <c r="L34" i="13"/>
  <c r="L35" i="13"/>
  <c r="L56" i="12"/>
  <c r="B48" i="12"/>
  <c r="B49" i="12"/>
  <c r="B54" i="12"/>
  <c r="B34" i="12"/>
  <c r="B53" i="12" s="1"/>
  <c r="B35" i="12"/>
  <c r="B36" i="12"/>
  <c r="B55" i="12" s="1"/>
  <c r="B37" i="12"/>
  <c r="B56" i="12" s="1"/>
  <c r="B31" i="12"/>
  <c r="B50" i="12" s="1"/>
  <c r="B32" i="12"/>
  <c r="B51" i="12" s="1"/>
  <c r="F13" i="12"/>
  <c r="F16" i="12"/>
  <c r="F18" i="12"/>
  <c r="B14" i="12"/>
  <c r="B15" i="12"/>
  <c r="B17" i="12"/>
  <c r="B18" i="12"/>
  <c r="B19" i="12"/>
  <c r="B20" i="12"/>
  <c r="L45" i="13"/>
  <c r="L20" i="13"/>
  <c r="F20" i="12" s="1"/>
  <c r="F33" i="12"/>
  <c r="B12" i="12"/>
  <c r="B13" i="12"/>
  <c r="B11" i="12"/>
  <c r="G25" i="16"/>
  <c r="G28" i="16"/>
  <c r="G26" i="16"/>
  <c r="G18" i="16"/>
  <c r="G17" i="16"/>
  <c r="G16" i="16"/>
  <c r="G11" i="16"/>
  <c r="G23" i="26" l="1"/>
  <c r="H23" i="26"/>
  <c r="G15" i="26"/>
  <c r="H15" i="26"/>
  <c r="J19" i="11" s="1"/>
  <c r="J29" i="11" s="1"/>
  <c r="J33" i="11" s="1"/>
  <c r="F15" i="26"/>
  <c r="E9" i="8"/>
  <c r="F9" i="8"/>
  <c r="D9" i="8"/>
  <c r="J9" i="14"/>
  <c r="H42" i="13"/>
  <c r="G36" i="13"/>
  <c r="H36" i="13"/>
  <c r="H18" i="11"/>
  <c r="D11" i="28"/>
  <c r="S11" i="28"/>
  <c r="H19" i="11" l="1"/>
  <c r="M11" i="11" s="1"/>
  <c r="M13" i="11" s="1"/>
  <c r="J15" i="26"/>
  <c r="F15" i="27"/>
  <c r="E15" i="27"/>
  <c r="E18" i="27" s="1"/>
  <c r="D15" i="27"/>
  <c r="C15" i="27"/>
  <c r="G14" i="27"/>
  <c r="G13" i="27"/>
  <c r="G12" i="27"/>
  <c r="G11" i="27"/>
  <c r="H29" i="11" l="1"/>
  <c r="E20" i="27"/>
  <c r="F18" i="27"/>
  <c r="F20" i="27" s="1"/>
  <c r="C18" i="27"/>
  <c r="G15" i="27"/>
  <c r="D18" i="27"/>
  <c r="D20" i="27" s="1"/>
  <c r="G18" i="27" l="1"/>
  <c r="E31" i="27" s="1"/>
  <c r="C20" i="27"/>
  <c r="G20" i="27" l="1"/>
  <c r="J54" i="11"/>
  <c r="H24" i="8"/>
  <c r="H25" i="8"/>
  <c r="I32" i="7"/>
  <c r="F42" i="25" l="1"/>
  <c r="G42" i="25" s="1"/>
  <c r="E11" i="20"/>
  <c r="H12" i="9"/>
  <c r="H34" i="15"/>
  <c r="H13" i="8"/>
  <c r="H36" i="26"/>
  <c r="H55" i="14"/>
  <c r="H46" i="14"/>
  <c r="G30" i="7" s="1"/>
  <c r="J12" i="14"/>
  <c r="F36" i="26" l="1"/>
  <c r="G35" i="7" s="1"/>
  <c r="F38" i="15"/>
  <c r="F39" i="9"/>
  <c r="I35" i="7"/>
  <c r="F42" i="9"/>
  <c r="D16" i="8"/>
  <c r="I47" i="12" l="1"/>
  <c r="K47" i="12"/>
  <c r="I53" i="13"/>
  <c r="J53" i="13"/>
  <c r="K53" i="13"/>
  <c r="H49" i="13"/>
  <c r="H43" i="13"/>
  <c r="B48" i="13"/>
  <c r="B49" i="13"/>
  <c r="B50" i="13"/>
  <c r="B51" i="13"/>
  <c r="F37" i="12"/>
  <c r="F36" i="12"/>
  <c r="H36" i="12" s="1"/>
  <c r="F34" i="12"/>
  <c r="H51" i="13"/>
  <c r="L19" i="13"/>
  <c r="F19" i="12" s="1"/>
  <c r="L18" i="13"/>
  <c r="L17" i="13"/>
  <c r="F17" i="12" s="1"/>
  <c r="H44" i="13"/>
  <c r="H58" i="11"/>
  <c r="J44" i="11"/>
  <c r="I33" i="16"/>
  <c r="F23" i="26"/>
  <c r="H6" i="26"/>
  <c r="G6" i="26"/>
  <c r="F6" i="26"/>
  <c r="G5" i="26"/>
  <c r="E29" i="11"/>
  <c r="E33" i="11" s="1"/>
  <c r="E33" i="23"/>
  <c r="D33" i="23" s="1"/>
  <c r="D34" i="23" s="1"/>
  <c r="E27" i="25"/>
  <c r="D18" i="25"/>
  <c r="D20" i="25" s="1"/>
  <c r="F15" i="25"/>
  <c r="F18" i="25" s="1"/>
  <c r="F20" i="25" s="1"/>
  <c r="E15" i="25"/>
  <c r="E18" i="25" s="1"/>
  <c r="D15" i="25"/>
  <c r="C15" i="25"/>
  <c r="C18" i="25" s="1"/>
  <c r="C20" i="25" s="1"/>
  <c r="G14" i="25"/>
  <c r="G13" i="25"/>
  <c r="G12" i="25"/>
  <c r="G11" i="25"/>
  <c r="Q23" i="24"/>
  <c r="O23" i="24"/>
  <c r="M23" i="24"/>
  <c r="L23" i="24"/>
  <c r="K23" i="24"/>
  <c r="I23" i="24"/>
  <c r="G23" i="24"/>
  <c r="E23" i="24"/>
  <c r="T19" i="24"/>
  <c r="R14" i="24"/>
  <c r="R21" i="24" s="1"/>
  <c r="Q14" i="24"/>
  <c r="Q28" i="24" s="1"/>
  <c r="P14" i="24"/>
  <c r="P21" i="24" s="1"/>
  <c r="P23" i="24" s="1"/>
  <c r="P28" i="24" s="1"/>
  <c r="O14" i="24"/>
  <c r="O28" i="24" s="1"/>
  <c r="N14" i="24"/>
  <c r="M14" i="24"/>
  <c r="L14" i="24"/>
  <c r="L28" i="24" s="1"/>
  <c r="K14" i="24"/>
  <c r="K28" i="24" s="1"/>
  <c r="J14" i="24"/>
  <c r="J21" i="24" s="1"/>
  <c r="I14" i="24"/>
  <c r="I28" i="24" s="1"/>
  <c r="H14" i="24"/>
  <c r="H21" i="24" s="1"/>
  <c r="G14" i="24"/>
  <c r="G28" i="24" s="1"/>
  <c r="F14" i="24"/>
  <c r="E14" i="24"/>
  <c r="D14" i="24"/>
  <c r="T12" i="24"/>
  <c r="D27" i="20" s="1"/>
  <c r="D32" i="20" s="1"/>
  <c r="T10" i="24"/>
  <c r="E49" i="23"/>
  <c r="E40" i="23"/>
  <c r="E14" i="18" s="1"/>
  <c r="E25" i="23"/>
  <c r="E22" i="23"/>
  <c r="E5" i="23"/>
  <c r="E43" i="22"/>
  <c r="E37" i="22"/>
  <c r="E19" i="18" s="1"/>
  <c r="E60" i="21"/>
  <c r="E52" i="21"/>
  <c r="E36" i="21"/>
  <c r="E44" i="21" s="1"/>
  <c r="E34" i="17" s="1"/>
  <c r="E30" i="21"/>
  <c r="E31" i="17" s="1"/>
  <c r="E22" i="21"/>
  <c r="D41" i="20"/>
  <c r="E38" i="20"/>
  <c r="D38" i="20"/>
  <c r="E32" i="20"/>
  <c r="E24" i="20"/>
  <c r="E40" i="20" s="1"/>
  <c r="E42" i="20" s="1"/>
  <c r="D22" i="20"/>
  <c r="E18" i="20"/>
  <c r="E16" i="20"/>
  <c r="D14" i="20"/>
  <c r="D10" i="20"/>
  <c r="E5" i="20"/>
  <c r="C17" i="19"/>
  <c r="G14" i="19"/>
  <c r="G8" i="19"/>
  <c r="E7" i="19"/>
  <c r="G7" i="19" s="1"/>
  <c r="E10" i="18"/>
  <c r="E17" i="17"/>
  <c r="E16" i="17"/>
  <c r="E15" i="17"/>
  <c r="D13" i="20" s="1"/>
  <c r="E14" i="17"/>
  <c r="A1" i="2"/>
  <c r="H12" i="14"/>
  <c r="H45" i="9"/>
  <c r="H56" i="12" l="1"/>
  <c r="H37" i="12"/>
  <c r="H55" i="12"/>
  <c r="H53" i="12"/>
  <c r="L50" i="13"/>
  <c r="R23" i="24"/>
  <c r="R28" i="24" s="1"/>
  <c r="J23" i="24"/>
  <c r="J28" i="24" s="1"/>
  <c r="H23" i="24"/>
  <c r="H28" i="24" s="1"/>
  <c r="M28" i="24"/>
  <c r="H48" i="13"/>
  <c r="E25" i="17"/>
  <c r="E28" i="24"/>
  <c r="H50" i="13"/>
  <c r="G15" i="25"/>
  <c r="H47" i="13"/>
  <c r="L51" i="13"/>
  <c r="L48" i="13"/>
  <c r="L36" i="12"/>
  <c r="L55" i="12" s="1"/>
  <c r="J40" i="11"/>
  <c r="H20" i="6" s="1"/>
  <c r="H40" i="11"/>
  <c r="F20" i="6" s="1"/>
  <c r="H23" i="12"/>
  <c r="F31" i="9" s="1"/>
  <c r="F35" i="9" s="1"/>
  <c r="F35" i="12"/>
  <c r="L35" i="12" s="1"/>
  <c r="F30" i="12"/>
  <c r="L30" i="12" s="1"/>
  <c r="F36" i="13"/>
  <c r="L27" i="13"/>
  <c r="F29" i="12" s="1"/>
  <c r="J13" i="11"/>
  <c r="H8" i="6" s="1"/>
  <c r="H10" i="6"/>
  <c r="H33" i="11"/>
  <c r="F10" i="6" s="1"/>
  <c r="H13" i="11"/>
  <c r="F8" i="6" s="1"/>
  <c r="E35" i="23"/>
  <c r="E8" i="18" s="1"/>
  <c r="E12" i="18" s="1"/>
  <c r="E21" i="18" s="1"/>
  <c r="E27" i="18" s="1"/>
  <c r="N21" i="24"/>
  <c r="G18" i="25"/>
  <c r="E31" i="25" s="1"/>
  <c r="E18" i="17"/>
  <c r="T14" i="24"/>
  <c r="D21" i="24"/>
  <c r="E20" i="25"/>
  <c r="F21" i="24"/>
  <c r="H5" i="16"/>
  <c r="G36" i="15"/>
  <c r="H6" i="15"/>
  <c r="G6" i="15"/>
  <c r="F6" i="15"/>
  <c r="G5" i="15"/>
  <c r="J55" i="14"/>
  <c r="I31" i="7" s="1"/>
  <c r="J42" i="14"/>
  <c r="I19" i="7" s="1"/>
  <c r="H55" i="9" s="1"/>
  <c r="H42" i="14"/>
  <c r="G19" i="7" s="1"/>
  <c r="F55" i="9" s="1"/>
  <c r="J21" i="14"/>
  <c r="I17" i="7" s="1"/>
  <c r="G17" i="7"/>
  <c r="I16" i="7"/>
  <c r="L40" i="13"/>
  <c r="H40" i="13"/>
  <c r="J34" i="13"/>
  <c r="B31" i="13"/>
  <c r="B33" i="12" s="1"/>
  <c r="B52" i="12" s="1"/>
  <c r="B28" i="13"/>
  <c r="B27" i="13"/>
  <c r="L26" i="13"/>
  <c r="F28" i="12" s="1"/>
  <c r="B26" i="13"/>
  <c r="J21" i="13"/>
  <c r="L16" i="13"/>
  <c r="L15" i="13"/>
  <c r="F15" i="12" s="1"/>
  <c r="L14" i="13"/>
  <c r="F14" i="12" s="1"/>
  <c r="L13" i="13"/>
  <c r="L12" i="13"/>
  <c r="L11" i="13"/>
  <c r="F11" i="12" s="1"/>
  <c r="A2" i="13"/>
  <c r="L45" i="12"/>
  <c r="H45" i="12"/>
  <c r="J40" i="12"/>
  <c r="J23" i="12"/>
  <c r="A2" i="12"/>
  <c r="G58" i="11"/>
  <c r="I57" i="11"/>
  <c r="I5" i="11"/>
  <c r="D28" i="8"/>
  <c r="H21" i="8"/>
  <c r="I50" i="7"/>
  <c r="G50" i="7"/>
  <c r="H5" i="9"/>
  <c r="F5" i="9"/>
  <c r="B1" i="7"/>
  <c r="A1" i="8" s="1"/>
  <c r="A3" i="6"/>
  <c r="A3" i="8" s="1"/>
  <c r="A3" i="10" s="1"/>
  <c r="A1" i="6"/>
  <c r="I36" i="4"/>
  <c r="I31" i="4"/>
  <c r="H29" i="4"/>
  <c r="H26" i="4"/>
  <c r="H22" i="4"/>
  <c r="A3" i="3"/>
  <c r="A3" i="4" s="1"/>
  <c r="A3" i="5" s="1"/>
  <c r="A2" i="3"/>
  <c r="A1" i="3"/>
  <c r="A1" i="4" s="1"/>
  <c r="A1" i="5" s="1"/>
  <c r="L49" i="12" l="1"/>
  <c r="L54" i="12"/>
  <c r="H47" i="12"/>
  <c r="H54" i="12"/>
  <c r="B47" i="13"/>
  <c r="L17" i="12"/>
  <c r="H34" i="12" s="1"/>
  <c r="L34" i="12" s="1"/>
  <c r="L53" i="12" s="1"/>
  <c r="B42" i="13"/>
  <c r="B28" i="12"/>
  <c r="B47" i="12" s="1"/>
  <c r="L18" i="12"/>
  <c r="B43" i="13"/>
  <c r="B29" i="12"/>
  <c r="B44" i="13"/>
  <c r="B30" i="12"/>
  <c r="F12" i="12"/>
  <c r="H48" i="12" s="1"/>
  <c r="H51" i="12"/>
  <c r="H49" i="12"/>
  <c r="H52" i="12"/>
  <c r="L14" i="12"/>
  <c r="L49" i="13"/>
  <c r="F40" i="9"/>
  <c r="F45" i="9" s="1"/>
  <c r="H53" i="13"/>
  <c r="E25" i="25"/>
  <c r="E29" i="25" s="1"/>
  <c r="E33" i="25" s="1"/>
  <c r="L29" i="12"/>
  <c r="F23" i="24"/>
  <c r="F28" i="24" s="1"/>
  <c r="N23" i="24"/>
  <c r="N28" i="24" s="1"/>
  <c r="J47" i="12"/>
  <c r="L13" i="12"/>
  <c r="L44" i="13"/>
  <c r="F40" i="12"/>
  <c r="L43" i="13"/>
  <c r="L11" i="12"/>
  <c r="L42" i="13"/>
  <c r="F18" i="9"/>
  <c r="F16" i="9"/>
  <c r="I37" i="7"/>
  <c r="I45" i="7" s="1"/>
  <c r="L47" i="13"/>
  <c r="L21" i="13"/>
  <c r="L36" i="13"/>
  <c r="F13" i="6"/>
  <c r="D7" i="20"/>
  <c r="D11" i="20" s="1"/>
  <c r="G26" i="4"/>
  <c r="D23" i="24"/>
  <c r="T21" i="24"/>
  <c r="E37" i="25"/>
  <c r="E35" i="25"/>
  <c r="G20" i="25"/>
  <c r="H15" i="6"/>
  <c r="J5" i="11"/>
  <c r="J5" i="14"/>
  <c r="F17" i="9"/>
  <c r="I22" i="7"/>
  <c r="G5" i="16"/>
  <c r="H5" i="14"/>
  <c r="H5" i="11"/>
  <c r="I26" i="4"/>
  <c r="H13" i="6"/>
  <c r="A3" i="12"/>
  <c r="A3" i="13"/>
  <c r="H9" i="8"/>
  <c r="A1" i="9"/>
  <c r="A3" i="9"/>
  <c r="H31" i="12" l="1"/>
  <c r="L50" i="12"/>
  <c r="L15" i="12"/>
  <c r="H32" i="12" s="1"/>
  <c r="L32" i="12" s="1"/>
  <c r="L51" i="12" s="1"/>
  <c r="L16" i="12"/>
  <c r="L53" i="13"/>
  <c r="L12" i="12"/>
  <c r="L48" i="12" s="1"/>
  <c r="F23" i="12"/>
  <c r="E39" i="25"/>
  <c r="F48" i="25" s="1"/>
  <c r="T23" i="24"/>
  <c r="D28" i="24"/>
  <c r="T28" i="24" s="1"/>
  <c r="E8" i="17" s="1"/>
  <c r="E10" i="17" s="1"/>
  <c r="E20" i="17" s="1"/>
  <c r="H18" i="6"/>
  <c r="H24" i="6" s="1"/>
  <c r="A1" i="10"/>
  <c r="A1" i="12"/>
  <c r="A1" i="16"/>
  <c r="A1" i="11"/>
  <c r="A1" i="13"/>
  <c r="E1" i="14" s="1"/>
  <c r="A1" i="15" s="1"/>
  <c r="A1" i="26" s="1"/>
  <c r="A3" i="16"/>
  <c r="A3" i="11"/>
  <c r="A3" i="14"/>
  <c r="H33" i="12" l="1"/>
  <c r="H58" i="12"/>
  <c r="I9" i="7" s="1"/>
  <c r="I11" i="7" s="1"/>
  <c r="I24" i="7" s="1"/>
  <c r="E29" i="18"/>
  <c r="E48" i="25"/>
  <c r="E32" i="17" s="1"/>
  <c r="L23" i="12"/>
  <c r="L28" i="12"/>
  <c r="L47" i="12" s="1"/>
  <c r="I29" i="4"/>
  <c r="I34" i="4" s="1"/>
  <c r="I40" i="4" s="1"/>
  <c r="G36" i="4" s="1"/>
  <c r="H28" i="6"/>
  <c r="A3" i="15"/>
  <c r="A3" i="26"/>
  <c r="D15" i="20"/>
  <c r="D16" i="20" s="1"/>
  <c r="D18" i="20" s="1"/>
  <c r="D24" i="20" s="1"/>
  <c r="D40" i="20" s="1"/>
  <c r="D42" i="20" s="1"/>
  <c r="E36" i="17"/>
  <c r="H40" i="12" l="1"/>
  <c r="E27" i="27" s="1"/>
  <c r="L33" i="12"/>
  <c r="L52" i="12" s="1"/>
  <c r="L58" i="12" s="1"/>
  <c r="G9" i="7" s="1"/>
  <c r="G11" i="7" s="1"/>
  <c r="E31" i="18"/>
  <c r="E11" i="19" s="1"/>
  <c r="H33" i="6"/>
  <c r="H10" i="9"/>
  <c r="H15" i="9" s="1"/>
  <c r="H21" i="9" s="1"/>
  <c r="H28" i="9" s="1"/>
  <c r="H48" i="9" l="1"/>
  <c r="H51" i="9" s="1"/>
  <c r="F49" i="9" s="1"/>
  <c r="G19" i="16"/>
  <c r="G33" i="16" s="1"/>
  <c r="F15" i="6" s="1"/>
  <c r="F18" i="6" s="1"/>
  <c r="F24" i="6" s="1"/>
  <c r="F12" i="9"/>
  <c r="L40" i="12"/>
  <c r="E17" i="19"/>
  <c r="G11" i="19"/>
  <c r="H36" i="15"/>
  <c r="F28" i="8"/>
  <c r="H23" i="8"/>
  <c r="H28" i="8" s="1"/>
  <c r="F10" i="9" l="1"/>
  <c r="F15" i="9" s="1"/>
  <c r="F21" i="9" s="1"/>
  <c r="F28" i="9" s="1"/>
  <c r="F48" i="9" s="1"/>
  <c r="F51" i="9" s="1"/>
  <c r="J54" i="9" s="1"/>
  <c r="F28" i="6"/>
  <c r="E25" i="27" s="1"/>
  <c r="E29" i="27" s="1"/>
  <c r="E33" i="27" s="1"/>
  <c r="E39" i="27" s="1"/>
  <c r="G29" i="4"/>
  <c r="H41" i="15"/>
  <c r="F34" i="15" s="1"/>
  <c r="G17" i="19"/>
  <c r="E26" i="17"/>
  <c r="E27" i="17" s="1"/>
  <c r="E38" i="17" s="1"/>
  <c r="H44" i="11" l="1"/>
  <c r="E48" i="27"/>
  <c r="I51" i="7"/>
  <c r="I54" i="7" s="1"/>
  <c r="I58" i="7" s="1"/>
  <c r="F30" i="6" l="1"/>
  <c r="F55" i="11"/>
  <c r="J55" i="11" l="1"/>
  <c r="F58" i="11"/>
  <c r="G31" i="4"/>
  <c r="G34" i="4" s="1"/>
  <c r="G40" i="4" s="1"/>
  <c r="F33" i="6"/>
  <c r="F11" i="8" l="1"/>
  <c r="F36" i="15"/>
  <c r="F41" i="15" s="1"/>
  <c r="G51" i="7" s="1"/>
  <c r="G54" i="7" s="1"/>
  <c r="G18" i="7"/>
  <c r="G22" i="7" s="1"/>
  <c r="G24" i="7" s="1"/>
  <c r="J58" i="11"/>
  <c r="G32" i="7" s="1"/>
  <c r="G37" i="7" s="1"/>
  <c r="G45" i="7" s="1"/>
  <c r="G58" i="7" l="1"/>
  <c r="J33" i="7" s="1"/>
  <c r="F16" i="8"/>
  <c r="H11" i="8"/>
  <c r="H16" i="8" s="1"/>
</calcChain>
</file>

<file path=xl/sharedStrings.xml><?xml version="1.0" encoding="utf-8"?>
<sst xmlns="http://schemas.openxmlformats.org/spreadsheetml/2006/main" count="733" uniqueCount="534">
  <si>
    <t>FINANCIAL STATEMENTS</t>
  </si>
  <si>
    <t>GoldRidge Consult</t>
  </si>
  <si>
    <t>Chartered Accountants &amp; Business Advisers</t>
  </si>
  <si>
    <t>(Audit - Tax - Accountancy - Advisory)</t>
  </si>
  <si>
    <t>GPS Address: GK - 0351-3722</t>
  </si>
  <si>
    <t>Comm. 22 Annex Tema, Ghana.</t>
  </si>
  <si>
    <t>FOR THE YEAR ENDED 31 DECEMBER 2022</t>
  </si>
  <si>
    <t>CONTENTS</t>
  </si>
  <si>
    <t>PAGE</t>
  </si>
  <si>
    <t>CORPORATE INFORMATION</t>
  </si>
  <si>
    <t>DIRECTORS' REPORT</t>
  </si>
  <si>
    <t>2 - 3</t>
  </si>
  <si>
    <t>INDEPENDENT AUDITOR'S REPORT</t>
  </si>
  <si>
    <t>4 - 6</t>
  </si>
  <si>
    <t>STATEMENT OF COMPREHENSIVE INCOME</t>
  </si>
  <si>
    <t>STATEMENT OF FINANCIAL POSITION</t>
  </si>
  <si>
    <t>STATEMENT OF CHANGES IN EQUITY</t>
  </si>
  <si>
    <t>STATEMENT OF CASH  FLOWS</t>
  </si>
  <si>
    <t>NOTES  TO THE FINANCIAL STATEMENTS</t>
  </si>
  <si>
    <t xml:space="preserve"> DIRECTORS</t>
  </si>
  <si>
    <t>CONTACT ADDRESS</t>
  </si>
  <si>
    <t>AUDITOR</t>
  </si>
  <si>
    <t>Chartered Accountants &amp; Bus. Advisers</t>
  </si>
  <si>
    <t>GPS Code: GK - 0351-3722</t>
  </si>
  <si>
    <t>Community 22 Annex BBC, Tema.</t>
  </si>
  <si>
    <t>BANKERS</t>
  </si>
  <si>
    <t>TIN</t>
  </si>
  <si>
    <t>REPORT OF DIRECTORS</t>
  </si>
  <si>
    <t>Statement of Directors' Responsibilities</t>
  </si>
  <si>
    <t>The Directors are also responsible for such Internal Control as they determine is necessary to enable the preparation of financial statements that are free from material misstatement, whether due to fraud or error, and for maintaining adequate accounting records and an effective system of risk management.</t>
  </si>
  <si>
    <t>The Directors have made an assessment of the ability of the Company to continue as going concerns and have no reason to believe that the business will not be going concerns in the year ahead.</t>
  </si>
  <si>
    <t>The Auditor is responsible for reporting on whether the financial statements give a true and fair view in accordance with the applicable financial reporting framework.</t>
  </si>
  <si>
    <t>The Directors would report as follows;</t>
  </si>
  <si>
    <t>2022</t>
  </si>
  <si>
    <t>GH¢</t>
  </si>
  <si>
    <t>Total Income</t>
  </si>
  <si>
    <t>Profit before Tax of</t>
  </si>
  <si>
    <t>From which is deducted;</t>
  </si>
  <si>
    <t>Provision for Estimated Income Tax Expense of</t>
  </si>
  <si>
    <t>Leaving a profit after Tax of</t>
  </si>
  <si>
    <t>Which is to be added to the Retained Earnings brought forward of</t>
  </si>
  <si>
    <t>Adjustment in prior year's depreciation</t>
  </si>
  <si>
    <t>0</t>
  </si>
  <si>
    <t xml:space="preserve">Leaving a balance which is carried forward to the </t>
  </si>
  <si>
    <t>Statement of Financial Position</t>
  </si>
  <si>
    <t>REPORT OF DIRECTORS (CONTINUED)</t>
  </si>
  <si>
    <t>Directors</t>
  </si>
  <si>
    <t>The Directors who held office during the year were as follows:</t>
  </si>
  <si>
    <t>Name of Director</t>
  </si>
  <si>
    <t>Designation</t>
  </si>
  <si>
    <t xml:space="preserve">Managing Director </t>
  </si>
  <si>
    <t>Nature of Business</t>
  </si>
  <si>
    <t>The principal activity of the Company during the year was in accordance with Section 2 of the Regulation of the Company. This represent no change from the activities carried out for the previous year.</t>
  </si>
  <si>
    <t>Particulars of entries in the Interests Register during the financial year</t>
  </si>
  <si>
    <t>There were no entries recorded in the Interest Register as required by 194(6),195(1)(a) and 196 of the Companies Act 2019, (Act 992) of any Director's Interest in contracts and proposed contracts with the Company during the year under review.</t>
  </si>
  <si>
    <t>Capacity building of Directors to discharge their duties</t>
  </si>
  <si>
    <t>No expenditure was made on capacity building of Directors during the current year.</t>
  </si>
  <si>
    <t>Auditors and Audit fees</t>
  </si>
  <si>
    <t>Going Concern</t>
  </si>
  <si>
    <t>The Board of Directors have made an assessment of the Company’s ability to continue as a going concern and is satisfied that it has the resources to continue in business for the foreseeable future. Furthermore, the Directors are not aware of any material uncertainties that may cast significant doubt upon the Company’s ability to continue as a going concern. Therefore, the financial statements continue to be prepared on the going concern basis.</t>
  </si>
  <si>
    <t>Dividend</t>
  </si>
  <si>
    <t>The Directors do not propose dividend for the year.</t>
  </si>
  <si>
    <t>Directors' Representation</t>
  </si>
  <si>
    <t>The Directors confirmed that no matters have arisen since 31 December, 2022 which materially affect the financial statements as presented.</t>
  </si>
  <si>
    <t>Approval</t>
  </si>
  <si>
    <t xml:space="preserve">                       …............................                                     …...............................</t>
  </si>
  <si>
    <t xml:space="preserve">                             Director</t>
  </si>
  <si>
    <t xml:space="preserve">     Director</t>
  </si>
  <si>
    <t xml:space="preserve">STATEMENT OF COMPREHENSIVE INCOME </t>
  </si>
  <si>
    <t>Note</t>
  </si>
  <si>
    <t xml:space="preserve">Revenue                         </t>
  </si>
  <si>
    <t>Cost of Sales</t>
  </si>
  <si>
    <t>Gross Profit</t>
  </si>
  <si>
    <t>General &amp; Administrative Expenses</t>
  </si>
  <si>
    <t>Operating Profit/(Loss)</t>
  </si>
  <si>
    <t>Other Income</t>
  </si>
  <si>
    <t>Tax Expense</t>
  </si>
  <si>
    <t>Profit after Tax</t>
  </si>
  <si>
    <t>NOTES</t>
  </si>
  <si>
    <t>NON-CURRENT ASSETS</t>
  </si>
  <si>
    <t>Property Plant &amp; equipment</t>
  </si>
  <si>
    <t>CURRENT ASSET</t>
  </si>
  <si>
    <t>Inventory</t>
  </si>
  <si>
    <t>Trade &amp; Other Receivables</t>
  </si>
  <si>
    <t>Cash and Bank balances</t>
  </si>
  <si>
    <t>TOTAL ASSET</t>
  </si>
  <si>
    <t>EQUITY AND LIABILITIES</t>
  </si>
  <si>
    <t>CURRENT LIABILITIES</t>
  </si>
  <si>
    <t>Trade and Other Payables</t>
  </si>
  <si>
    <t>Current Tax</t>
  </si>
  <si>
    <t>Total Current  Liabilities</t>
  </si>
  <si>
    <t>TOTAL LIABILITIES</t>
  </si>
  <si>
    <t>EQUITY</t>
  </si>
  <si>
    <t>Stated Capital</t>
  </si>
  <si>
    <t>Retained Earnings Account</t>
  </si>
  <si>
    <t>TOTAL EQUITY AND LIABILITIES</t>
  </si>
  <si>
    <t xml:space="preserve">       …....………………………………</t>
  </si>
  <si>
    <t xml:space="preserve">              ……..……………………….........</t>
  </si>
  <si>
    <t xml:space="preserve">    DIRECTOR</t>
  </si>
  <si>
    <t xml:space="preserve">                 DIRECTOR</t>
  </si>
  <si>
    <t xml:space="preserve">Stated </t>
  </si>
  <si>
    <t>Retained</t>
  </si>
  <si>
    <t>Total</t>
  </si>
  <si>
    <t>Capital</t>
  </si>
  <si>
    <t>Earnings</t>
  </si>
  <si>
    <t>Equity</t>
  </si>
  <si>
    <t>Balance at 1 Jan. 2022</t>
  </si>
  <si>
    <t>Net Profit for the year</t>
  </si>
  <si>
    <t>Balance at 1 Jan. 2021</t>
  </si>
  <si>
    <t>Balance at 31 Dec. 2021</t>
  </si>
  <si>
    <t>STATEMENT OF CASH FLOWS</t>
  </si>
  <si>
    <t xml:space="preserve">Reconciliation of Operating Profit/(Loss) to </t>
  </si>
  <si>
    <t>Net Cash Flow From Operating Activities</t>
  </si>
  <si>
    <t>Net Operating Profit/(Loss)</t>
  </si>
  <si>
    <t>Adjustment for non-cash and expense:</t>
  </si>
  <si>
    <t>Depreciation &amp; Impairment</t>
  </si>
  <si>
    <t>Change  in  Inventory</t>
  </si>
  <si>
    <t>Change in trade Receivables</t>
  </si>
  <si>
    <t>Change in trade Payables</t>
  </si>
  <si>
    <t>Net Cash In/(Out) Flow From Operating Activities</t>
  </si>
  <si>
    <t>Tax Paid</t>
  </si>
  <si>
    <t>Net Cash flow from Operating Activities</t>
  </si>
  <si>
    <t xml:space="preserve">INVESTMENT ACTIVITIES </t>
  </si>
  <si>
    <t>Purchase  of  Property Plant  and Equipment</t>
  </si>
  <si>
    <t>Net Cash flow from Investment Activities</t>
  </si>
  <si>
    <t xml:space="preserve">FINANCING ACTIVITIES </t>
  </si>
  <si>
    <t>Net Cash flow from Financing Activities</t>
  </si>
  <si>
    <t>Net change in cash and cash equivalent</t>
  </si>
  <si>
    <t>Cash and Cash equivalent as at 1st January</t>
  </si>
  <si>
    <t>Cash and Cash equivalent as at 31st December</t>
  </si>
  <si>
    <t>CASH AND CASH EQUIVALENT</t>
  </si>
  <si>
    <t>Cash and Bank Balances</t>
  </si>
  <si>
    <t>NOTES TO THE FINANCIAL STATEMENTS</t>
  </si>
  <si>
    <t>THE REPORTING ENTITY</t>
  </si>
  <si>
    <t>ACCOUNTING POLICIES</t>
  </si>
  <si>
    <t>The significant accounting policies adopted by the Company and which have been used in</t>
  </si>
  <si>
    <t>preparing these financial statements are as follows:</t>
  </si>
  <si>
    <t>a.</t>
  </si>
  <si>
    <t>Basis of Accounting</t>
  </si>
  <si>
    <t>The financial statements have been prepared under the historical cost convention.</t>
  </si>
  <si>
    <t>b.</t>
  </si>
  <si>
    <t>Depreciation</t>
  </si>
  <si>
    <t>Depreciation has been provided on straight line basis at the following rates:</t>
  </si>
  <si>
    <t>Motor  Vehicle</t>
  </si>
  <si>
    <t>Computers &amp; Accessories</t>
  </si>
  <si>
    <t>Plant &amp; Machinery</t>
  </si>
  <si>
    <t>c.</t>
  </si>
  <si>
    <t>Turnover</t>
  </si>
  <si>
    <t>d.</t>
  </si>
  <si>
    <t>Stocks are valued at suppliers' invoice price plus incidental expenses to the Company.</t>
  </si>
  <si>
    <t>e.</t>
  </si>
  <si>
    <t>Foreign Currencies</t>
  </si>
  <si>
    <t>The company uses the Ghana Cedi (GHS) both as a functional currency and the presentational currency. Transactions denominated in foreign currencies are translated into Ghana Cedis (GHS) at the exchange rates ruling at the dates of the transaction. Monetary Assets and Liabilities denominated in foreign currencies at the reporting date are translated into Ghana Cedis (GHS) and recorded at the rates of exchange ruling at that date.</t>
  </si>
  <si>
    <t>f</t>
  </si>
  <si>
    <t>Cash and Cash Equivalents</t>
  </si>
  <si>
    <t>This inclueds cash in hand, deposits held at call with banks, other short-term highly liquid investments with original maturities of three months or less and bank overdrafts.</t>
  </si>
  <si>
    <t>REVENUE</t>
  </si>
  <si>
    <t>COST OF SALES</t>
  </si>
  <si>
    <t>TAXATION</t>
  </si>
  <si>
    <t>5.1</t>
  </si>
  <si>
    <t>Income Tax Expense</t>
  </si>
  <si>
    <t>Charge for the year</t>
  </si>
  <si>
    <t>5.2</t>
  </si>
  <si>
    <t>Current Tax Asset</t>
  </si>
  <si>
    <t>Year of</t>
  </si>
  <si>
    <t>Balance</t>
  </si>
  <si>
    <t>Charge for</t>
  </si>
  <si>
    <t>Payment /</t>
  </si>
  <si>
    <t>Assessment</t>
  </si>
  <si>
    <t xml:space="preserve">at 01 Jan </t>
  </si>
  <si>
    <t>the year</t>
  </si>
  <si>
    <t>Tax Credit</t>
  </si>
  <si>
    <t>at 31 Dec</t>
  </si>
  <si>
    <t>This computation is subject to the agreement with the Ghana Revenue Authority.</t>
  </si>
  <si>
    <t>6a</t>
  </si>
  <si>
    <t>PROPERTY, PLANT &amp; EQUIPMENT</t>
  </si>
  <si>
    <t>Balance at</t>
  </si>
  <si>
    <t>Additions/ Transfers</t>
  </si>
  <si>
    <t>Disposals/ Transfers</t>
  </si>
  <si>
    <t>1 Jan. 2022</t>
  </si>
  <si>
    <t>in the Year</t>
  </si>
  <si>
    <t>31 Dec. 2022</t>
  </si>
  <si>
    <t>Cost</t>
  </si>
  <si>
    <t>Plants &amp; Equipment</t>
  </si>
  <si>
    <t>Motor Vehicles</t>
  </si>
  <si>
    <t>Furniture &amp; Fittings</t>
  </si>
  <si>
    <t>Computer Equipment</t>
  </si>
  <si>
    <t>Work-In- Progress</t>
  </si>
  <si>
    <t>Carrying Amount</t>
  </si>
  <si>
    <t>As at 31 Dec.</t>
  </si>
  <si>
    <t>6b</t>
  </si>
  <si>
    <t>INVENTORY</t>
  </si>
  <si>
    <t>TRADE &amp; OTHER RECEIVABLE</t>
  </si>
  <si>
    <t>Trade Debtors</t>
  </si>
  <si>
    <t>CASH &amp; CASH EQUIVALENT</t>
  </si>
  <si>
    <t>Cash on Hand</t>
  </si>
  <si>
    <t>TRADE AND OTHER PAYABLES</t>
  </si>
  <si>
    <t>Other Creditors</t>
  </si>
  <si>
    <t>Accruals</t>
  </si>
  <si>
    <t xml:space="preserve">STATED CAPITAL </t>
  </si>
  <si>
    <t>Number</t>
  </si>
  <si>
    <t>Authorised Shares</t>
  </si>
  <si>
    <t>Ordinary Shares of no Par Value</t>
  </si>
  <si>
    <t>Issued Shares</t>
  </si>
  <si>
    <t>Proceeds</t>
  </si>
  <si>
    <t>Proceeds of issue for cash</t>
  </si>
  <si>
    <t>There is no unpaid liability on any share and there is no share in treasury.</t>
  </si>
  <si>
    <t>RETAINED EARNINGS ACCOUNT</t>
  </si>
  <si>
    <t>Balance at 1 January</t>
  </si>
  <si>
    <t>Net Profit/(Loss) for the Year</t>
  </si>
  <si>
    <t>Balance at 31 December</t>
  </si>
  <si>
    <t>CONTINGENT LIABILITIES</t>
  </si>
  <si>
    <t>CAPITAL COMMITMENTS</t>
  </si>
  <si>
    <t>STAFF STRENGHT</t>
  </si>
  <si>
    <t>General &amp; Administration Expenses</t>
  </si>
  <si>
    <t>Office Expenses</t>
  </si>
  <si>
    <t>Stationery &amp; Printing</t>
  </si>
  <si>
    <t>Director</t>
  </si>
  <si>
    <t>CHEMSOLV LIMITED</t>
  </si>
  <si>
    <t>Takoradi</t>
  </si>
  <si>
    <t>Standard Chartered Bank PLC</t>
  </si>
  <si>
    <t>SOLICITORS</t>
  </si>
  <si>
    <t>Kweku Gyima Kye (Kye Consult)</t>
  </si>
  <si>
    <t>REGISTERED OFFICE</t>
  </si>
  <si>
    <t>Export Sales</t>
  </si>
  <si>
    <t>STATEMENT OF FINANCIAL POSITION AS AT 31ST DECEMBER, 2022</t>
  </si>
  <si>
    <t>NOTE</t>
  </si>
  <si>
    <t>ASSETS</t>
  </si>
  <si>
    <t>NON CURRENT ASSETS</t>
  </si>
  <si>
    <t>(16)</t>
  </si>
  <si>
    <t>Property, Plant &amp; Equipment</t>
  </si>
  <si>
    <t>Development Cost</t>
  </si>
  <si>
    <t>CURRENT ASSETS</t>
  </si>
  <si>
    <t>Inventory / WIP</t>
  </si>
  <si>
    <t>Accounts Receivable</t>
  </si>
  <si>
    <t>(5)</t>
  </si>
  <si>
    <t>Taxation</t>
  </si>
  <si>
    <t>(12)</t>
  </si>
  <si>
    <t>Cash &amp; Cash Equivalent</t>
  </si>
  <si>
    <t>(4)</t>
  </si>
  <si>
    <t>TOTAL ASSETS</t>
  </si>
  <si>
    <t>EQUITY &amp; LIABILITIES</t>
  </si>
  <si>
    <t xml:space="preserve">EQUITY </t>
  </si>
  <si>
    <t>Share Capital</t>
  </si>
  <si>
    <t>Retained Profit</t>
  </si>
  <si>
    <t>Bank Overdraft</t>
  </si>
  <si>
    <t>(13)</t>
  </si>
  <si>
    <t>Trade &amp; Other Payables</t>
  </si>
  <si>
    <t>(6)</t>
  </si>
  <si>
    <t xml:space="preserve">Taxation </t>
  </si>
  <si>
    <t xml:space="preserve">Accruals </t>
  </si>
  <si>
    <t>(7)</t>
  </si>
  <si>
    <t>Short-term Loan</t>
  </si>
  <si>
    <t xml:space="preserve">TOTAL EQUITY &amp; LIABILITIES </t>
  </si>
  <si>
    <t>………………………………</t>
  </si>
  <si>
    <t>…………………………………</t>
  </si>
  <si>
    <t>DIRECTOR</t>
  </si>
  <si>
    <t xml:space="preserve">           DIRECTOR </t>
  </si>
  <si>
    <t>STATEMENT OF INCOME &amp; RETAINED EARNINGS FOR THE YEAR ENDED 31ST DECEMBER, 2022</t>
  </si>
  <si>
    <t>INCOME</t>
  </si>
  <si>
    <t>(15)</t>
  </si>
  <si>
    <t>DIRECT OPERATING EXPENSES</t>
  </si>
  <si>
    <t>(14)</t>
  </si>
  <si>
    <t xml:space="preserve">GROSS PROFIT </t>
  </si>
  <si>
    <t>OTHER INCOME</t>
  </si>
  <si>
    <t xml:space="preserve">LOSS ON SALE OF VEHICLES </t>
  </si>
  <si>
    <t>GENERAL &amp; ADMINISTRATIVE EXPENSES</t>
  </si>
  <si>
    <t>(10)</t>
  </si>
  <si>
    <t>NET PROFIT BEFORE INTEREST &amp; TAX</t>
  </si>
  <si>
    <t>FINANCE COST</t>
  </si>
  <si>
    <t>EXCHANGE GAIN</t>
  </si>
  <si>
    <t>NET PROFIT BEFORE TAXATION</t>
  </si>
  <si>
    <t>PROFIT AFTER TAX</t>
  </si>
  <si>
    <t xml:space="preserve">SHARE </t>
  </si>
  <si>
    <t>RETAINED</t>
  </si>
  <si>
    <t>TOTAL</t>
  </si>
  <si>
    <t>CAPITAL</t>
  </si>
  <si>
    <t>PROFIT</t>
  </si>
  <si>
    <t>Balance as at 1/1/21</t>
  </si>
  <si>
    <t>Additions during the year</t>
  </si>
  <si>
    <t>Dividend Proposed</t>
  </si>
  <si>
    <t>Balance as at 31/12/2022</t>
  </si>
  <si>
    <t>CHEMSOLV  LIMITED</t>
  </si>
  <si>
    <t>CASHFLOW STATEMENT FOR THE YEAR ENDED 31ST DECEMBER, 2022</t>
  </si>
  <si>
    <t>OPERATING ACTIVITIES</t>
  </si>
  <si>
    <t>Profit before Interest &amp; Tax</t>
  </si>
  <si>
    <t>ADD BACK</t>
  </si>
  <si>
    <t>Increase/Decrease in Receivables</t>
  </si>
  <si>
    <t>Increase/Decrease in Inventories</t>
  </si>
  <si>
    <t>Increase in Payables</t>
  </si>
  <si>
    <t>Movement in Working Capital</t>
  </si>
  <si>
    <t>Cash Generated from Operation</t>
  </si>
  <si>
    <t>Interest Expenses</t>
  </si>
  <si>
    <t>Exchange Gain</t>
  </si>
  <si>
    <t>Penalties &amp; Taxes Paid</t>
  </si>
  <si>
    <t>Net Cashflow from Operating Activities</t>
  </si>
  <si>
    <t>INVESTING ACTIVITIES</t>
  </si>
  <si>
    <t>PPE Acquisition</t>
  </si>
  <si>
    <t>Loan</t>
  </si>
  <si>
    <t>Capital injection</t>
  </si>
  <si>
    <t>Investment - Treasury Bills</t>
  </si>
  <si>
    <t>Disposal of Assets</t>
  </si>
  <si>
    <t>Net cash inflow from Investment</t>
  </si>
  <si>
    <t>FINANCIAL ACTIVITIES</t>
  </si>
  <si>
    <t>Dividend Paid</t>
  </si>
  <si>
    <t>Overdraft</t>
  </si>
  <si>
    <t xml:space="preserve">Net cash in/outflow from Financing </t>
  </si>
  <si>
    <t>Increase/Decrease in Cash and Cash Equivalent</t>
  </si>
  <si>
    <t>Cash and Cash Equivalent at the Beginning</t>
  </si>
  <si>
    <t>Cash and Cash Equivalent at the End of Year</t>
  </si>
  <si>
    <t>NOTES FORMING PART OF THE FINANCIAL STATEMENTS</t>
  </si>
  <si>
    <t>BANK BALANCES</t>
  </si>
  <si>
    <t>Ecobank Ghana Limited USD Forex</t>
  </si>
  <si>
    <t>Ecobank Ghana Limited USD Foreign</t>
  </si>
  <si>
    <t>Ecobank EDC Investment</t>
  </si>
  <si>
    <t>Ecobank USD Collateral</t>
  </si>
  <si>
    <t>Ecobank Ghana Limited</t>
  </si>
  <si>
    <t>Standard Chartered Bank GHS</t>
  </si>
  <si>
    <t>Standard Chartered Bank USD Forex</t>
  </si>
  <si>
    <t>Standard Chartered Bank USD- Offshore</t>
  </si>
  <si>
    <t>Stanbic Bank Ghana- GHS</t>
  </si>
  <si>
    <t>Stanbic Bank Ghana USD-Onshore</t>
  </si>
  <si>
    <t>Stanbic Bank Ghana USD-Offshore</t>
  </si>
  <si>
    <t>ACCOUNTS RECEIVABLE</t>
  </si>
  <si>
    <t>Loans to Employees</t>
  </si>
  <si>
    <t>Total Other Receivables</t>
  </si>
  <si>
    <t>TRADE &amp; OTHER PAYABLES</t>
  </si>
  <si>
    <t>Details would be furnished on request.</t>
  </si>
  <si>
    <t>ACCRUALS</t>
  </si>
  <si>
    <t>Loan from Co. Company (Royal Brent Ltd)</t>
  </si>
  <si>
    <t>Audit &amp; Accounting Fees</t>
  </si>
  <si>
    <t xml:space="preserve">WHT - SUPPLIERS </t>
  </si>
  <si>
    <t>Get Fund NHIL Covid Levy Payable</t>
  </si>
  <si>
    <t>Vat Flat Rate &amp; Covid Levy 4% Payable</t>
  </si>
  <si>
    <t xml:space="preserve">Vat 12.5% Standard </t>
  </si>
  <si>
    <t>SSNIT Tier 1</t>
  </si>
  <si>
    <t>SSNIT Tier 2</t>
  </si>
  <si>
    <t>PF Tier 3</t>
  </si>
  <si>
    <t>Loan Interest</t>
  </si>
  <si>
    <t>COMMUNICATION &amp; RELATED COST</t>
  </si>
  <si>
    <t>Internet &amp; Web Expenses</t>
  </si>
  <si>
    <t>Computer &amp; Related Accessories</t>
  </si>
  <si>
    <t>software and related accessories</t>
  </si>
  <si>
    <t>Communication Expenses</t>
  </si>
  <si>
    <t>Postage &amp; Delivery</t>
  </si>
  <si>
    <t>TRAVELLING/TRANSPORT &amp; ACCOMMODATION EXP</t>
  </si>
  <si>
    <t>Travell Expenses - International Travel</t>
  </si>
  <si>
    <t>Travell Expenses - Selling &amp; Marketing</t>
  </si>
  <si>
    <t>Travel Accommodation</t>
  </si>
  <si>
    <t>Flight Expenses</t>
  </si>
  <si>
    <t>SELLING &amp; ADMINISTRATIVE EXPENSES</t>
  </si>
  <si>
    <t>Electrical Accessories &amp; Installations Cost</t>
  </si>
  <si>
    <t>Communication nad related  Cost</t>
  </si>
  <si>
    <t>(8)</t>
  </si>
  <si>
    <t>Business Development</t>
  </si>
  <si>
    <t>Corporate social Responsibility</t>
  </si>
  <si>
    <t>Environment &amp; Sanitation Exp</t>
  </si>
  <si>
    <t>Staff Training Expenses</t>
  </si>
  <si>
    <t>CSR</t>
  </si>
  <si>
    <t>Tender Expenses</t>
  </si>
  <si>
    <t xml:space="preserve">Repairs &amp; Maintenance - vehicles &amp; others </t>
  </si>
  <si>
    <t>Office rent - Accra</t>
  </si>
  <si>
    <t>Fuel Expenses</t>
  </si>
  <si>
    <t>Insurance - General</t>
  </si>
  <si>
    <t xml:space="preserve">computer and related accessories </t>
  </si>
  <si>
    <t>Licence &amp; Business Renewal</t>
  </si>
  <si>
    <t>Research and Development</t>
  </si>
  <si>
    <t>Operations fund expenses</t>
  </si>
  <si>
    <t>Petty cash expenses</t>
  </si>
  <si>
    <t>Advertising Expenses</t>
  </si>
  <si>
    <t>Repairs &amp; Maintenance - warehouse &amp; office</t>
  </si>
  <si>
    <t>other expenses</t>
  </si>
  <si>
    <t>Meal and Entertainment - Staff Programmes</t>
  </si>
  <si>
    <t>Utilities</t>
  </si>
  <si>
    <t>Travelling Transport Exepenses (Note9)</t>
  </si>
  <si>
    <t>(9)</t>
  </si>
  <si>
    <t>Staff Cost</t>
  </si>
  <si>
    <t>(11)</t>
  </si>
  <si>
    <t>Legal and Professional fees</t>
  </si>
  <si>
    <t>Office Security Cost</t>
  </si>
  <si>
    <t>STAFF COST</t>
  </si>
  <si>
    <t>Staff Medical Cost</t>
  </si>
  <si>
    <t>Payroll Expenses</t>
  </si>
  <si>
    <t>Salaries</t>
  </si>
  <si>
    <t>BANK OVERDRAFT</t>
  </si>
  <si>
    <t>Overdawn Balance due to Ecobank Ltd</t>
  </si>
  <si>
    <t>COST OF OPERATIONS</t>
  </si>
  <si>
    <t>Opening Inventory</t>
  </si>
  <si>
    <t>Clearing Expenses</t>
  </si>
  <si>
    <t>Chemical Delivery/ Transportation Cost</t>
  </si>
  <si>
    <t>Chemical Purchases &amp; Related cost (17)</t>
  </si>
  <si>
    <t>Equipment Rental Cost</t>
  </si>
  <si>
    <t>Import Duty Charges</t>
  </si>
  <si>
    <t>lab Expenses</t>
  </si>
  <si>
    <t>Methanol Related Cost</t>
  </si>
  <si>
    <t>Other Operations Petty Running Cost</t>
  </si>
  <si>
    <t>Other Purchases - Non Chemical</t>
  </si>
  <si>
    <t>Spill response Cost</t>
  </si>
  <si>
    <t>Warehouse Operation related Cost</t>
  </si>
  <si>
    <t>Hazardous Material disposal Cost</t>
  </si>
  <si>
    <t>Quality Inspection and Maintenance</t>
  </si>
  <si>
    <t>Personnel Protective Equipments</t>
  </si>
  <si>
    <t>Less Closing Inventory</t>
  </si>
  <si>
    <t xml:space="preserve">INCOME </t>
  </si>
  <si>
    <t>Local Sales</t>
  </si>
  <si>
    <t>Discount</t>
  </si>
  <si>
    <t>Interest income (Ecobank EDC Investment)</t>
  </si>
  <si>
    <t>Exchange gain</t>
  </si>
  <si>
    <t>CHEMICAL PURCHASES AND RELATED COST</t>
  </si>
  <si>
    <t xml:space="preserve">Chemical purchases </t>
  </si>
  <si>
    <t>import duty charges</t>
  </si>
  <si>
    <t>clearing charges</t>
  </si>
  <si>
    <t>demurrage cost</t>
  </si>
  <si>
    <t>state warehouse cost</t>
  </si>
  <si>
    <t>chemical transportation cost</t>
  </si>
  <si>
    <t>PROPERTY, PLANT AND EQUIPMENT AS AT 31ST DECEMBER, 2022</t>
  </si>
  <si>
    <t>Computer &amp; Software</t>
  </si>
  <si>
    <t>Air Conditioner</t>
  </si>
  <si>
    <t>Motor Vehicle / Trucks</t>
  </si>
  <si>
    <t xml:space="preserve">Land </t>
  </si>
  <si>
    <t>Plant &amp; Equipment</t>
  </si>
  <si>
    <t>Compressor</t>
  </si>
  <si>
    <t>Chem. Warehse &amp; Con.Office</t>
  </si>
  <si>
    <t>Additions</t>
  </si>
  <si>
    <t>Net Book Values</t>
  </si>
  <si>
    <t>At 31.12.2022</t>
  </si>
  <si>
    <t>At 31.12.2021</t>
  </si>
  <si>
    <t xml:space="preserve">CAPITAL ALLOWANCE COMPUTATION </t>
  </si>
  <si>
    <t>POOL 1</t>
  </si>
  <si>
    <t>POOL 2</t>
  </si>
  <si>
    <t>POOL 3</t>
  </si>
  <si>
    <t>POOL 4</t>
  </si>
  <si>
    <t>SUMMARY</t>
  </si>
  <si>
    <t xml:space="preserve"> @</t>
  </si>
  <si>
    <t>WDV BAL. B/FWD</t>
  </si>
  <si>
    <t>ADDITIONS</t>
  </si>
  <si>
    <t>Pool Value</t>
  </si>
  <si>
    <t>Capital Allowance</t>
  </si>
  <si>
    <t>WDV</t>
  </si>
  <si>
    <t>2022 TAX COMPUTATION</t>
  </si>
  <si>
    <t>Net Profit Per Accounts</t>
  </si>
  <si>
    <r>
      <rPr>
        <b/>
        <sz val="12"/>
        <color theme="1"/>
        <rFont val="Calibri"/>
        <family val="2"/>
        <scheme val="minor"/>
      </rPr>
      <t>Add Back</t>
    </r>
    <r>
      <rPr>
        <sz val="12"/>
        <color theme="1"/>
        <rFont val="Calibri"/>
        <family val="2"/>
        <scheme val="minor"/>
      </rPr>
      <t>: Depreciation</t>
    </r>
  </si>
  <si>
    <t>Adjusted Profit</t>
  </si>
  <si>
    <t>Less Capital Allowance</t>
  </si>
  <si>
    <t xml:space="preserve">Chargeable income </t>
  </si>
  <si>
    <t>Tax on Export Sales</t>
  </si>
  <si>
    <t>Tax on Local Sales</t>
  </si>
  <si>
    <t>Total CIT</t>
  </si>
  <si>
    <t>Tax paid</t>
  </si>
  <si>
    <t xml:space="preserve">Witholding Tax </t>
  </si>
  <si>
    <t>Tax Outstanding</t>
  </si>
  <si>
    <t>Profit/(Loss) before Interest &amp; Tax</t>
  </si>
  <si>
    <t>Finance Cost</t>
  </si>
  <si>
    <t>Profit/(Loss) before  Tax</t>
  </si>
  <si>
    <t>Bank Overdraft Ecobank Gh Limited</t>
  </si>
  <si>
    <t>Trade Payables</t>
  </si>
  <si>
    <t>Short Term Loan</t>
  </si>
  <si>
    <t>Interest cost</t>
  </si>
  <si>
    <t>Dividend paid</t>
  </si>
  <si>
    <t>Investment</t>
  </si>
  <si>
    <t>Capital investment</t>
  </si>
  <si>
    <t>Compressor Machines</t>
  </si>
  <si>
    <t>Building</t>
  </si>
  <si>
    <t>Air Conditioners</t>
  </si>
  <si>
    <t>The Directors are responsible for the preparation of Financial Statements that give a true and fair view of Chemsolv Limited, comprising the Statements of Financial Position at 31 December 2022 and the Statements of Comprehensive Income, Statement of Changes in Equity and Statement of Cash Flows for the year then ended, and the notes to the Financial Statements which include a summary of significant accounting policies and other explanatory notes, in accordance with International Financial Reporting Standards and in the manner required by the Companies Act, 2019 (Act 992). In addition, the Directors are responsible for the preparation of the Report of the Directors/Shareholders.</t>
  </si>
  <si>
    <t>The total number of staff including the directors as at year end 2021 was twelve (12)</t>
  </si>
  <si>
    <t xml:space="preserve">Revenue is recognized in the statement of comprehensive income when the significant risks and rewards of ownership have been transferred to the customer excluding Taxes where applicable. </t>
  </si>
  <si>
    <t>C0002437333</t>
  </si>
  <si>
    <t xml:space="preserve">Chemsolv Limited, a private company limited by shares, was incorporated in 2nd September 2015 and domiciled in Ghana under the Companies Act, 2019, (Act 992). The Company is permitted by its regulations to carry on, Provide chemical distribution and chemical management services. The address of the registered office of the Company is The Elizabeth Building 68 Senchi Street Airport-Accra </t>
  </si>
  <si>
    <t>11 - 18</t>
  </si>
  <si>
    <t>Net Profit/(Loss) for the year</t>
  </si>
  <si>
    <t>MES CONTRACTING AND TRADING LTD</t>
  </si>
  <si>
    <t>YEAR ENDED 31 DECEMBER  2023</t>
  </si>
  <si>
    <t>Malak El Hassan Sayed Ali</t>
  </si>
  <si>
    <t>Hussien Chalabli</t>
  </si>
  <si>
    <t>Spintex Branch</t>
  </si>
  <si>
    <t>1 Jan. 2023</t>
  </si>
  <si>
    <t>31 Dec. 2023</t>
  </si>
  <si>
    <t>2023</t>
  </si>
  <si>
    <t>There were no contingent liabilities arising from legal suits and other matters against the Company at 31 December 2023.</t>
  </si>
  <si>
    <t>There were no capital commitments at the Statement of Financial Position date and at 31 December 2023.</t>
  </si>
  <si>
    <t>Above 2,000,0000</t>
  </si>
  <si>
    <t>Every 1,000,000 increase  above 2,000,000 up to 5,000,000</t>
  </si>
  <si>
    <t>Every 1,000,000 increase  above 5,000,000 up to 10,000,000</t>
  </si>
  <si>
    <t>Every 1,000,000 increase  above  10,000,000</t>
  </si>
  <si>
    <t>Sales/Turnover  GHS</t>
  </si>
  <si>
    <t>Fees</t>
  </si>
  <si>
    <t>5000 x 3</t>
  </si>
  <si>
    <t>3000 x 5</t>
  </si>
  <si>
    <t>1000 x 6</t>
  </si>
  <si>
    <t>Details</t>
  </si>
  <si>
    <t>Revenue</t>
  </si>
  <si>
    <t>Duties and Clearing</t>
  </si>
  <si>
    <t>Subcontracting</t>
  </si>
  <si>
    <t>Salaries and Wages</t>
  </si>
  <si>
    <t>Directors Renumeration</t>
  </si>
  <si>
    <t>Proffessional Fees</t>
  </si>
  <si>
    <t>Casual Staff Salaries</t>
  </si>
  <si>
    <t>Travel &amp; Transportation</t>
  </si>
  <si>
    <t>Internet Expense</t>
  </si>
  <si>
    <t xml:space="preserve">Bank Charges </t>
  </si>
  <si>
    <t>Auditors' Remuneration</t>
  </si>
  <si>
    <t>Building Repairs &amp; Maintenance</t>
  </si>
  <si>
    <t xml:space="preserve">Stationery and Printing </t>
  </si>
  <si>
    <t>Advertising &amp; Promotion</t>
  </si>
  <si>
    <t>Safty and Insurance</t>
  </si>
  <si>
    <t>Cleaning and Sanitation</t>
  </si>
  <si>
    <t>Registration and Licensing</t>
  </si>
  <si>
    <t>Materials</t>
  </si>
  <si>
    <t>Cash</t>
  </si>
  <si>
    <t>VAT</t>
  </si>
  <si>
    <t>PAYE</t>
  </si>
  <si>
    <t>FOR THE YEAR ENDED 31 DECEMBER 2023</t>
  </si>
  <si>
    <t>AS AT 31 DECEMBER 2023</t>
  </si>
  <si>
    <t xml:space="preserve">Interest income </t>
  </si>
  <si>
    <t>Commissions</t>
  </si>
  <si>
    <t>Repairs and Maintenance</t>
  </si>
  <si>
    <t>Fuel</t>
  </si>
  <si>
    <t>Land &amp; Building</t>
  </si>
  <si>
    <t>SSNIT</t>
  </si>
  <si>
    <t xml:space="preserve">Localpurchases </t>
  </si>
  <si>
    <t>Import Purchases</t>
  </si>
  <si>
    <t>Clearing and Handling Cost</t>
  </si>
  <si>
    <t>MATERIAL PURCHASES AND RELATED COST</t>
  </si>
  <si>
    <t>Material Cost   (17)</t>
  </si>
  <si>
    <t>Directors Account</t>
  </si>
  <si>
    <t>LONG TERM LIABILITIES</t>
  </si>
  <si>
    <t>Bank draft</t>
  </si>
  <si>
    <t>VAT Standard</t>
  </si>
  <si>
    <t xml:space="preserve">Approved by the Board on   …..……..…………………………………...   2024. </t>
  </si>
  <si>
    <t>Balance at 31 Dec. 2023</t>
  </si>
  <si>
    <t>In accordance with Section 139(5) of the Compa20nies Act, 2019 (Act 992), GoldRidge Consult will remain in office as Auditors for the Company. As at 31 December 2023 the amount payable in respect of audit fees was GH¢,000.</t>
  </si>
  <si>
    <t>The Report of the Directors of MES Contracting and Trading Ltd  was approved by the Board of Directors on  …………………………………...2024  and signed on their behalf by:</t>
  </si>
  <si>
    <t xml:space="preserve">In accordance with the requirements of Section 136 of the Companies Act, 2019 (Act 992), we the Board of Directors of Chemcolv Limited, do herewith submit our Annual Report on the state of affairs of the Company for the year ended 31 December 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</si>
</sst>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
    <numFmt numFmtId="167" formatCode="_-* #,##0.00_-;\-* #,##0.00_-;_-* &quot;-&quot;??_-;_-@_-"/>
    <numFmt numFmtId="168" formatCode="#,##0.00;\-#,##0.00"/>
    <numFmt numFmtId="169" formatCode="_-&quot;£&quot;* #,##0.00_-;\-&quot;£&quot;* #,##0.00_-;_-&quot;£&quot;* &quot;-&quot;??_-;_-@_-"/>
    <numFmt numFmtId="170" formatCode="_-* #,##0_-;\-* #,##0_-;_-* &quot;-&quot;??_-;_-@_-"/>
  </numFmts>
  <fonts count="44">
    <font>
      <sz val="11"/>
      <color theme="1"/>
      <name val="Calibri"/>
      <family val="2"/>
      <scheme val="minor"/>
    </font>
    <font>
      <sz val="11"/>
      <color theme="1"/>
      <name val="Calibri"/>
      <family val="2"/>
      <scheme val="minor"/>
    </font>
    <font>
      <b/>
      <sz val="18"/>
      <name val="Arial"/>
      <family val="2"/>
    </font>
    <font>
      <b/>
      <sz val="16"/>
      <name val="Arial"/>
      <family val="2"/>
    </font>
    <font>
      <b/>
      <sz val="14"/>
      <name val="Comic Sans MS"/>
      <family val="4"/>
    </font>
    <font>
      <b/>
      <sz val="12"/>
      <name val="Comic Sans MS"/>
      <family val="4"/>
    </font>
    <font>
      <b/>
      <sz val="10"/>
      <name val="Arial"/>
      <family val="2"/>
    </font>
    <font>
      <b/>
      <sz val="18"/>
      <name val="Courier New"/>
      <family val="3"/>
    </font>
    <font>
      <b/>
      <sz val="11"/>
      <name val="Arial"/>
      <family val="2"/>
    </font>
    <font>
      <sz val="10"/>
      <name val="Arial"/>
      <family val="2"/>
    </font>
    <font>
      <b/>
      <sz val="12"/>
      <name val="Arial"/>
      <family val="2"/>
    </font>
    <font>
      <sz val="7"/>
      <name val="Arial"/>
      <family val="2"/>
    </font>
    <font>
      <b/>
      <sz val="12"/>
      <color theme="1"/>
      <name val="Arial"/>
      <family val="2"/>
    </font>
    <font>
      <b/>
      <sz val="11"/>
      <color theme="1"/>
      <name val="Arial"/>
      <family val="2"/>
    </font>
    <font>
      <sz val="11"/>
      <color theme="1"/>
      <name val="Arial"/>
      <family val="2"/>
    </font>
    <font>
      <sz val="11"/>
      <name val="Arial"/>
      <family val="2"/>
    </font>
    <font>
      <b/>
      <sz val="11"/>
      <color rgb="FFFF0000"/>
      <name val="Arial"/>
      <family val="2"/>
    </font>
    <font>
      <sz val="12"/>
      <color theme="1"/>
      <name val="Arial"/>
      <family val="2"/>
    </font>
    <font>
      <sz val="12"/>
      <name val="Arial"/>
      <family val="2"/>
    </font>
    <font>
      <sz val="12"/>
      <color theme="1"/>
      <name val="Calibri"/>
      <family val="2"/>
      <scheme val="minor"/>
    </font>
    <font>
      <b/>
      <sz val="12"/>
      <color theme="1"/>
      <name val="Calibri"/>
      <family val="2"/>
      <scheme val="minor"/>
    </font>
    <font>
      <sz val="12"/>
      <name val="Calibri"/>
      <family val="2"/>
      <scheme val="minor"/>
    </font>
    <font>
      <sz val="12"/>
      <name val="Garamond"/>
      <family val="1"/>
    </font>
    <font>
      <sz val="10"/>
      <name val="TKTypeRegular"/>
    </font>
    <font>
      <b/>
      <u/>
      <sz val="12"/>
      <color theme="1"/>
      <name val="Calibri"/>
      <family val="2"/>
      <scheme val="minor"/>
    </font>
    <font>
      <b/>
      <u val="singleAccounting"/>
      <sz val="12"/>
      <color theme="1"/>
      <name val="Calibri"/>
      <family val="2"/>
      <scheme val="minor"/>
    </font>
    <font>
      <u val="singleAccounting"/>
      <sz val="12"/>
      <color theme="1"/>
      <name val="Calibri"/>
      <family val="2"/>
      <scheme val="minor"/>
    </font>
    <font>
      <b/>
      <u val="doubleAccounting"/>
      <sz val="12"/>
      <color theme="1"/>
      <name val="Calibri"/>
      <family val="2"/>
      <scheme val="minor"/>
    </font>
    <font>
      <u val="doubleAccounting"/>
      <sz val="12"/>
      <color theme="1"/>
      <name val="Calibri"/>
      <family val="2"/>
      <scheme val="minor"/>
    </font>
    <font>
      <sz val="12"/>
      <color rgb="FFFF0000"/>
      <name val="Calibri"/>
      <family val="2"/>
      <scheme val="minor"/>
    </font>
    <font>
      <b/>
      <sz val="12"/>
      <color rgb="FFFF0000"/>
      <name val="Calibri"/>
      <family val="2"/>
      <scheme val="minor"/>
    </font>
    <font>
      <b/>
      <sz val="12"/>
      <name val="Calibri"/>
      <family val="2"/>
      <scheme val="minor"/>
    </font>
    <font>
      <u val="singleAccounting"/>
      <sz val="12"/>
      <name val="Calibri"/>
      <family val="2"/>
      <scheme val="minor"/>
    </font>
    <font>
      <sz val="11"/>
      <name val="Calibri"/>
      <family val="2"/>
      <scheme val="minor"/>
    </font>
    <font>
      <b/>
      <sz val="14"/>
      <name val="Arial"/>
      <family val="2"/>
    </font>
    <font>
      <b/>
      <sz val="11"/>
      <name val="Calibri"/>
      <family val="2"/>
      <scheme val="minor"/>
    </font>
    <font>
      <b/>
      <u val="singleAccounting"/>
      <sz val="12"/>
      <name val="Calibri"/>
      <family val="2"/>
      <scheme val="minor"/>
    </font>
    <font>
      <b/>
      <u val="doubleAccounting"/>
      <sz val="12"/>
      <name val="Calibri"/>
      <family val="2"/>
      <scheme val="minor"/>
    </font>
    <font>
      <u val="doubleAccounting"/>
      <sz val="12"/>
      <name val="Calibri"/>
      <family val="2"/>
      <scheme val="minor"/>
    </font>
    <font>
      <sz val="11"/>
      <name val="Calibri"/>
      <family val="2"/>
    </font>
    <font>
      <sz val="8"/>
      <name val="Arial"/>
      <family val="2"/>
    </font>
    <font>
      <b/>
      <u/>
      <sz val="12"/>
      <name val="Calibri"/>
      <family val="2"/>
      <scheme val="minor"/>
    </font>
    <font>
      <b/>
      <sz val="11"/>
      <color theme="1"/>
      <name val="Calibri"/>
      <family val="2"/>
      <scheme val="minor"/>
    </font>
    <font>
      <sz val="11"/>
      <color rgb="FFFF0000"/>
      <name val="Arial"/>
      <family val="2"/>
    </font>
  </fonts>
  <fills count="2">
    <fill>
      <patternFill patternType="none"/>
    </fill>
    <fill>
      <patternFill patternType="gray125"/>
    </fill>
  </fills>
  <borders count="13">
    <border>
      <left/>
      <right/>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indexed="64"/>
      </bottom>
      <diagonal/>
    </border>
    <border>
      <left/>
      <right style="thin">
        <color auto="1"/>
      </right>
      <top/>
      <bottom style="thin">
        <color auto="1"/>
      </bottom>
      <diagonal/>
    </border>
    <border>
      <left/>
      <right/>
      <top/>
      <bottom style="double">
        <color indexed="64"/>
      </bottom>
      <diagonal/>
    </border>
    <border>
      <left/>
      <right/>
      <top style="thin">
        <color indexed="64"/>
      </top>
      <bottom style="double">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4">
    <xf numFmtId="0" fontId="0" fillId="0" borderId="0"/>
    <xf numFmtId="43" fontId="1" fillId="0" borderId="0" applyFont="0" applyFill="0" applyBorder="0" applyAlignment="0" applyProtection="0"/>
    <xf numFmtId="0" fontId="1" fillId="0" borderId="0"/>
    <xf numFmtId="0" fontId="9" fillId="0" borderId="0"/>
    <xf numFmtId="0" fontId="9" fillId="0" borderId="0"/>
    <xf numFmtId="43" fontId="9" fillId="0" borderId="0" applyFont="0" applyFill="0" applyBorder="0" applyAlignment="0" applyProtection="0"/>
    <xf numFmtId="167" fontId="9" fillId="0" borderId="0" applyFont="0" applyFill="0" applyBorder="0" applyAlignment="0" applyProtection="0"/>
    <xf numFmtId="0" fontId="9" fillId="0" borderId="0"/>
    <xf numFmtId="0" fontId="9" fillId="0" borderId="0"/>
    <xf numFmtId="0" fontId="19" fillId="0" borderId="0"/>
    <xf numFmtId="0" fontId="18" fillId="0" borderId="0"/>
    <xf numFmtId="43" fontId="9" fillId="0" borderId="0" applyFont="0" applyFill="0" applyBorder="0" applyAlignment="0" applyProtection="0"/>
    <xf numFmtId="0" fontId="23" fillId="0" borderId="0" applyFont="0" applyFill="0" applyBorder="0" applyAlignment="0" applyProtection="0"/>
    <xf numFmtId="9" fontId="1" fillId="0" borderId="0" applyFont="0" applyFill="0" applyBorder="0" applyAlignment="0" applyProtection="0"/>
  </cellStyleXfs>
  <cellXfs count="577">
    <xf numFmtId="0" fontId="0" fillId="0" borderId="0" xfId="0"/>
    <xf numFmtId="0" fontId="1" fillId="0" borderId="0" xfId="2"/>
    <xf numFmtId="0" fontId="1" fillId="0" borderId="1" xfId="2" applyBorder="1"/>
    <xf numFmtId="0" fontId="1" fillId="0" borderId="2" xfId="2" applyBorder="1"/>
    <xf numFmtId="0" fontId="1" fillId="0" borderId="3" xfId="2" applyBorder="1"/>
    <xf numFmtId="0" fontId="1" fillId="0" borderId="4" xfId="2" applyBorder="1"/>
    <xf numFmtId="0" fontId="1" fillId="0" borderId="5" xfId="2" applyBorder="1"/>
    <xf numFmtId="0" fontId="3" fillId="0" borderId="4" xfId="2" applyFont="1" applyBorder="1" applyAlignment="1">
      <alignment horizontal="center"/>
    </xf>
    <xf numFmtId="0" fontId="3" fillId="0" borderId="0" xfId="2" applyFont="1" applyAlignment="1">
      <alignment horizontal="center"/>
    </xf>
    <xf numFmtId="0" fontId="3" fillId="0" borderId="5" xfId="2" applyFont="1" applyBorder="1" applyAlignment="1">
      <alignment horizontal="center"/>
    </xf>
    <xf numFmtId="0" fontId="4" fillId="0" borderId="4" xfId="2" applyFont="1" applyBorder="1"/>
    <xf numFmtId="0" fontId="4" fillId="0" borderId="0" xfId="2" applyFont="1"/>
    <xf numFmtId="0" fontId="5" fillId="0" borderId="0" xfId="2" applyFont="1"/>
    <xf numFmtId="0" fontId="4" fillId="0" borderId="5" xfId="2" applyFont="1" applyBorder="1"/>
    <xf numFmtId="0" fontId="6" fillId="0" borderId="4" xfId="2" applyFont="1" applyBorder="1"/>
    <xf numFmtId="0" fontId="7" fillId="0" borderId="0" xfId="2" applyFont="1"/>
    <xf numFmtId="0" fontId="8" fillId="0" borderId="0" xfId="2" applyFont="1"/>
    <xf numFmtId="0" fontId="10" fillId="0" borderId="0" xfId="3" applyFont="1"/>
    <xf numFmtId="0" fontId="6" fillId="0" borderId="0" xfId="2" applyFont="1"/>
    <xf numFmtId="0" fontId="6" fillId="0" borderId="5" xfId="2" applyFont="1" applyBorder="1"/>
    <xf numFmtId="0" fontId="8" fillId="0" borderId="4" xfId="2" applyFont="1" applyBorder="1"/>
    <xf numFmtId="0" fontId="11" fillId="0" borderId="0" xfId="2" applyFont="1"/>
    <xf numFmtId="0" fontId="1" fillId="0" borderId="6" xfId="2" applyBorder="1"/>
    <xf numFmtId="0" fontId="1" fillId="0" borderId="7" xfId="2" applyBorder="1"/>
    <xf numFmtId="0" fontId="1" fillId="0" borderId="8" xfId="2" applyBorder="1"/>
    <xf numFmtId="0" fontId="12" fillId="0" borderId="0" xfId="0" applyFont="1" applyAlignment="1">
      <alignment horizontal="center"/>
    </xf>
    <xf numFmtId="0" fontId="12" fillId="0" borderId="0" xfId="0" applyFont="1"/>
    <xf numFmtId="0" fontId="13" fillId="0" borderId="0" xfId="0" applyFont="1" applyAlignment="1">
      <alignment horizontal="center"/>
    </xf>
    <xf numFmtId="0" fontId="13" fillId="0" borderId="0" xfId="0" applyFont="1"/>
    <xf numFmtId="43" fontId="13" fillId="0" borderId="0" xfId="0" applyNumberFormat="1" applyFont="1"/>
    <xf numFmtId="0" fontId="13" fillId="0" borderId="0" xfId="0" quotePrefix="1" applyFont="1" applyAlignment="1">
      <alignment horizontal="center"/>
    </xf>
    <xf numFmtId="16" fontId="13" fillId="0" borderId="0" xfId="0" quotePrefix="1" applyNumberFormat="1" applyFont="1" applyAlignment="1">
      <alignment horizontal="center"/>
    </xf>
    <xf numFmtId="0" fontId="15" fillId="0" borderId="0" xfId="0" applyFont="1"/>
    <xf numFmtId="0" fontId="15" fillId="0" borderId="0" xfId="0" applyFont="1" applyAlignment="1">
      <alignment horizontal="center" vertical="center"/>
    </xf>
    <xf numFmtId="0" fontId="15" fillId="0" borderId="0" xfId="4" applyFont="1"/>
    <xf numFmtId="0" fontId="9" fillId="0" borderId="0" xfId="0" applyFont="1"/>
    <xf numFmtId="41" fontId="8" fillId="0" borderId="0" xfId="0" quotePrefix="1" applyNumberFormat="1" applyFont="1" applyAlignment="1">
      <alignment horizontal="right"/>
    </xf>
    <xf numFmtId="41" fontId="8" fillId="0" borderId="0" xfId="0" applyNumberFormat="1" applyFont="1" applyAlignment="1">
      <alignment horizontal="right"/>
    </xf>
    <xf numFmtId="41" fontId="15" fillId="0" borderId="0" xfId="0" quotePrefix="1" applyNumberFormat="1" applyFont="1" applyAlignment="1">
      <alignment horizontal="right"/>
    </xf>
    <xf numFmtId="41" fontId="15" fillId="0" borderId="0" xfId="0" applyNumberFormat="1" applyFont="1" applyAlignment="1">
      <alignment horizontal="right"/>
    </xf>
    <xf numFmtId="41" fontId="8" fillId="0" borderId="7" xfId="0" applyNumberFormat="1" applyFont="1" applyBorder="1"/>
    <xf numFmtId="41" fontId="15" fillId="0" borderId="7" xfId="0" applyNumberFormat="1" applyFont="1" applyBorder="1"/>
    <xf numFmtId="41" fontId="8" fillId="0" borderId="0" xfId="0" applyNumberFormat="1" applyFont="1"/>
    <xf numFmtId="41" fontId="15" fillId="0" borderId="0" xfId="0" applyNumberFormat="1" applyFont="1"/>
    <xf numFmtId="0" fontId="15" fillId="0" borderId="0" xfId="0" applyFont="1" applyProtection="1">
      <protection hidden="1"/>
    </xf>
    <xf numFmtId="37" fontId="8" fillId="0" borderId="0" xfId="0" applyNumberFormat="1" applyFont="1" applyAlignment="1">
      <alignment horizontal="right"/>
    </xf>
    <xf numFmtId="37" fontId="15" fillId="0" borderId="0" xfId="0" applyNumberFormat="1" applyFont="1" applyAlignment="1">
      <alignment horizontal="right"/>
    </xf>
    <xf numFmtId="164" fontId="15" fillId="0" borderId="0" xfId="0" applyNumberFormat="1" applyFont="1" applyAlignment="1">
      <alignment horizontal="right"/>
    </xf>
    <xf numFmtId="41" fontId="8" fillId="0" borderId="0" xfId="0" quotePrefix="1" applyNumberFormat="1" applyFont="1" applyAlignment="1">
      <alignment horizontal="right" vertical="center"/>
    </xf>
    <xf numFmtId="41" fontId="15" fillId="0" borderId="0" xfId="0" quotePrefix="1" applyNumberFormat="1" applyFont="1" applyAlignment="1">
      <alignment horizontal="right" vertical="center"/>
    </xf>
    <xf numFmtId="37" fontId="8" fillId="0" borderId="0" xfId="0" applyNumberFormat="1" applyFont="1" applyAlignment="1">
      <alignment horizontal="center" vertical="center"/>
    </xf>
    <xf numFmtId="37" fontId="15" fillId="0" borderId="0" xfId="0" applyNumberFormat="1" applyFont="1" applyAlignment="1">
      <alignment horizontal="center" vertical="center"/>
    </xf>
    <xf numFmtId="41" fontId="8" fillId="0" borderId="9" xfId="0" applyNumberFormat="1" applyFont="1" applyBorder="1" applyAlignment="1">
      <alignment horizontal="right"/>
    </xf>
    <xf numFmtId="41" fontId="15" fillId="0" borderId="9" xfId="0" applyNumberFormat="1" applyFont="1" applyBorder="1" applyAlignment="1">
      <alignment horizontal="right"/>
    </xf>
    <xf numFmtId="37" fontId="15" fillId="0" borderId="0" xfId="0" applyNumberFormat="1" applyFont="1"/>
    <xf numFmtId="41" fontId="9" fillId="0" borderId="0" xfId="0" applyNumberFormat="1" applyFont="1"/>
    <xf numFmtId="0" fontId="10" fillId="0" borderId="0" xfId="0" applyFont="1"/>
    <xf numFmtId="0" fontId="8" fillId="0" borderId="0" xfId="0" applyFont="1"/>
    <xf numFmtId="14" fontId="15" fillId="0" borderId="0" xfId="4" quotePrefix="1" applyNumberFormat="1" applyFont="1"/>
    <xf numFmtId="0" fontId="15" fillId="0" borderId="0" xfId="0" applyFont="1" applyAlignment="1">
      <alignment vertical="justify" wrapText="1"/>
    </xf>
    <xf numFmtId="165" fontId="15" fillId="0" borderId="0" xfId="0" applyNumberFormat="1" applyFont="1"/>
    <xf numFmtId="0" fontId="15" fillId="0" borderId="0" xfId="4" applyFont="1" applyAlignment="1">
      <alignment vertical="top"/>
    </xf>
    <xf numFmtId="0" fontId="8" fillId="0" borderId="0" xfId="4" applyFont="1"/>
    <xf numFmtId="0" fontId="8" fillId="0" borderId="0" xfId="4" applyFont="1" applyAlignment="1">
      <alignment horizontal="left" vertical="center"/>
    </xf>
    <xf numFmtId="0" fontId="6" fillId="0" borderId="0" xfId="0" applyFont="1"/>
    <xf numFmtId="0" fontId="8" fillId="0" borderId="0" xfId="0" quotePrefix="1" applyFont="1" applyAlignment="1">
      <alignment horizontal="center"/>
    </xf>
    <xf numFmtId="164" fontId="8" fillId="0" borderId="0" xfId="0" applyNumberFormat="1" applyFont="1"/>
    <xf numFmtId="164" fontId="15" fillId="0" borderId="0" xfId="0" applyNumberFormat="1" applyFont="1"/>
    <xf numFmtId="0" fontId="8" fillId="0" borderId="0" xfId="0" applyFont="1" applyAlignment="1">
      <alignment horizontal="left"/>
    </xf>
    <xf numFmtId="164" fontId="8" fillId="0" borderId="0" xfId="0" applyNumberFormat="1" applyFont="1" applyAlignment="1">
      <alignment horizontal="right"/>
    </xf>
    <xf numFmtId="0" fontId="18" fillId="0" borderId="0" xfId="3" applyFont="1"/>
    <xf numFmtId="0" fontId="15" fillId="0" borderId="0" xfId="3" applyFont="1"/>
    <xf numFmtId="164" fontId="15" fillId="0" borderId="0" xfId="5" applyNumberFormat="1" applyFont="1"/>
    <xf numFmtId="164" fontId="8" fillId="0" borderId="0" xfId="5" applyNumberFormat="1" applyFont="1" applyAlignment="1">
      <alignment horizontal="right"/>
    </xf>
    <xf numFmtId="43" fontId="15" fillId="0" borderId="0" xfId="5" applyFont="1"/>
    <xf numFmtId="0" fontId="8" fillId="0" borderId="0" xfId="3" applyFont="1" applyAlignment="1">
      <alignment horizontal="left"/>
    </xf>
    <xf numFmtId="164" fontId="15" fillId="0" borderId="0" xfId="5" applyNumberFormat="1" applyFont="1" applyAlignment="1">
      <alignment horizontal="right"/>
    </xf>
    <xf numFmtId="164" fontId="15" fillId="0" borderId="0" xfId="5" applyNumberFormat="1" applyFont="1" applyAlignment="1"/>
    <xf numFmtId="164" fontId="15" fillId="0" borderId="0" xfId="5" quotePrefix="1" applyNumberFormat="1" applyFont="1" applyAlignment="1">
      <alignment horizontal="right"/>
    </xf>
    <xf numFmtId="164" fontId="15" fillId="0" borderId="0" xfId="5" applyNumberFormat="1" applyFont="1" applyFill="1"/>
    <xf numFmtId="164" fontId="15" fillId="0" borderId="7" xfId="5" applyNumberFormat="1" applyFont="1" applyBorder="1"/>
    <xf numFmtId="0" fontId="8" fillId="0" borderId="0" xfId="3" applyFont="1"/>
    <xf numFmtId="164" fontId="8" fillId="0" borderId="0" xfId="5" applyNumberFormat="1" applyFont="1"/>
    <xf numFmtId="43" fontId="10" fillId="0" borderId="0" xfId="5" applyFont="1"/>
    <xf numFmtId="164" fontId="15" fillId="0" borderId="9" xfId="5" applyNumberFormat="1" applyFont="1" applyBorder="1"/>
    <xf numFmtId="43" fontId="18" fillId="0" borderId="0" xfId="3" applyNumberFormat="1" applyFont="1"/>
    <xf numFmtId="164" fontId="18" fillId="0" borderId="0" xfId="3" applyNumberFormat="1" applyFont="1"/>
    <xf numFmtId="164" fontId="15" fillId="0" borderId="2" xfId="5" applyNumberFormat="1" applyFont="1" applyBorder="1"/>
    <xf numFmtId="164" fontId="15" fillId="0" borderId="0" xfId="5" applyNumberFormat="1" applyFont="1" applyBorder="1"/>
    <xf numFmtId="164" fontId="18" fillId="0" borderId="0" xfId="5" applyNumberFormat="1" applyFont="1"/>
    <xf numFmtId="0" fontId="15" fillId="0" borderId="0" xfId="0" applyFont="1" applyAlignment="1">
      <alignment vertical="center"/>
    </xf>
    <xf numFmtId="9" fontId="15" fillId="0" borderId="0" xfId="0" applyNumberFormat="1" applyFont="1" applyAlignment="1">
      <alignment horizontal="center"/>
    </xf>
    <xf numFmtId="0" fontId="8" fillId="0" borderId="0" xfId="0" applyFont="1" applyAlignment="1">
      <alignment horizontal="right"/>
    </xf>
    <xf numFmtId="0" fontId="15" fillId="0" borderId="0" xfId="0" applyFont="1" applyAlignment="1">
      <alignment vertical="top"/>
    </xf>
    <xf numFmtId="164" fontId="15" fillId="0" borderId="0" xfId="6" quotePrefix="1" applyNumberFormat="1" applyFont="1" applyBorder="1" applyAlignment="1">
      <alignment horizontal="right"/>
    </xf>
    <xf numFmtId="164" fontId="8" fillId="0" borderId="0" xfId="6" quotePrefix="1" applyNumberFormat="1" applyFont="1" applyBorder="1" applyAlignment="1">
      <alignment horizontal="right"/>
    </xf>
    <xf numFmtId="164" fontId="8" fillId="0" borderId="0" xfId="6" applyNumberFormat="1" applyFont="1" applyBorder="1"/>
    <xf numFmtId="0" fontId="15" fillId="0" borderId="0" xfId="0" applyFont="1" applyAlignment="1">
      <alignment horizontal="right"/>
    </xf>
    <xf numFmtId="49" fontId="15" fillId="0" borderId="0" xfId="0" applyNumberFormat="1" applyFont="1"/>
    <xf numFmtId="3" fontId="8" fillId="0" borderId="0" xfId="0" applyNumberFormat="1" applyFont="1"/>
    <xf numFmtId="3" fontId="15" fillId="0" borderId="0" xfId="0" applyNumberFormat="1" applyFont="1"/>
    <xf numFmtId="164" fontId="15" fillId="0" borderId="0" xfId="1" quotePrefix="1" applyNumberFormat="1" applyFont="1" applyBorder="1" applyAlignment="1">
      <alignment horizontal="right"/>
    </xf>
    <xf numFmtId="3" fontId="8" fillId="0" borderId="2" xfId="0" applyNumberFormat="1" applyFont="1" applyBorder="1"/>
    <xf numFmtId="3" fontId="15" fillId="0" borderId="2" xfId="0" applyNumberFormat="1" applyFont="1" applyBorder="1"/>
    <xf numFmtId="3" fontId="8" fillId="0" borderId="0" xfId="1" applyNumberFormat="1" applyFont="1" applyFill="1" applyBorder="1"/>
    <xf numFmtId="3" fontId="15" fillId="0" borderId="0" xfId="1" applyNumberFormat="1" applyFont="1" applyFill="1" applyBorder="1"/>
    <xf numFmtId="164" fontId="15" fillId="0" borderId="0" xfId="1" applyNumberFormat="1" applyFont="1" applyBorder="1" applyAlignment="1">
      <alignment horizontal="right"/>
    </xf>
    <xf numFmtId="3" fontId="8" fillId="0" borderId="9" xfId="1" applyNumberFormat="1" applyFont="1" applyFill="1" applyBorder="1"/>
    <xf numFmtId="3" fontId="15" fillId="0" borderId="9" xfId="1" applyNumberFormat="1" applyFont="1" applyBorder="1"/>
    <xf numFmtId="49" fontId="8" fillId="0" borderId="0" xfId="0" applyNumberFormat="1" applyFont="1"/>
    <xf numFmtId="164" fontId="15" fillId="0" borderId="0" xfId="1" quotePrefix="1" applyNumberFormat="1" applyFont="1" applyAlignment="1">
      <alignment horizontal="right"/>
    </xf>
    <xf numFmtId="0" fontId="8" fillId="0" borderId="7" xfId="7" applyFont="1" applyBorder="1" applyAlignment="1">
      <alignment horizontal="right"/>
    </xf>
    <xf numFmtId="0" fontId="8" fillId="0" borderId="0" xfId="7" applyFont="1" applyAlignment="1">
      <alignment horizontal="right"/>
    </xf>
    <xf numFmtId="0" fontId="8" fillId="0" borderId="9" xfId="7" applyFont="1" applyBorder="1" applyAlignment="1">
      <alignment horizontal="right"/>
    </xf>
    <xf numFmtId="0" fontId="15" fillId="0" borderId="0" xfId="7" applyFont="1" applyAlignment="1">
      <alignment horizontal="center"/>
    </xf>
    <xf numFmtId="0" fontId="15" fillId="0" borderId="0" xfId="7" applyFont="1" applyAlignment="1">
      <alignment horizontal="right"/>
    </xf>
    <xf numFmtId="164" fontId="8" fillId="0" borderId="0" xfId="7" applyNumberFormat="1" applyFont="1" applyAlignment="1">
      <alignment horizontal="right"/>
    </xf>
    <xf numFmtId="164" fontId="15" fillId="0" borderId="0" xfId="7" applyNumberFormat="1" applyFont="1" applyAlignment="1">
      <alignment horizontal="right"/>
    </xf>
    <xf numFmtId="0" fontId="8" fillId="0" borderId="0" xfId="7" applyFont="1" applyAlignment="1">
      <alignment horizontal="center"/>
    </xf>
    <xf numFmtId="0" fontId="15" fillId="0" borderId="0" xfId="7" applyFont="1"/>
    <xf numFmtId="164" fontId="15" fillId="0" borderId="0" xfId="1" applyNumberFormat="1" applyFont="1"/>
    <xf numFmtId="0" fontId="8" fillId="0" borderId="2" xfId="0" applyFont="1" applyBorder="1" applyAlignment="1">
      <alignment horizontal="right"/>
    </xf>
    <xf numFmtId="0" fontId="8" fillId="0" borderId="9" xfId="0" applyFont="1" applyBorder="1" applyAlignment="1">
      <alignment horizontal="right"/>
    </xf>
    <xf numFmtId="0" fontId="15" fillId="0" borderId="0" xfId="8" applyFont="1" applyAlignment="1">
      <alignment vertical="center" wrapText="1"/>
    </xf>
    <xf numFmtId="43" fontId="15" fillId="0" borderId="0" xfId="1" applyFont="1" applyFill="1"/>
    <xf numFmtId="0" fontId="12" fillId="0" borderId="0" xfId="9" applyFont="1" applyAlignment="1">
      <alignment horizontal="center"/>
    </xf>
    <xf numFmtId="0" fontId="19" fillId="0" borderId="0" xfId="9"/>
    <xf numFmtId="0" fontId="17" fillId="0" borderId="0" xfId="9" applyFont="1" applyAlignment="1">
      <alignment horizontal="center"/>
    </xf>
    <xf numFmtId="41" fontId="12" fillId="0" borderId="0" xfId="9" quotePrefix="1" applyNumberFormat="1" applyFont="1" applyAlignment="1">
      <alignment horizontal="right"/>
    </xf>
    <xf numFmtId="41" fontId="12" fillId="0" borderId="0" xfId="9" applyNumberFormat="1" applyFont="1" applyAlignment="1">
      <alignment horizontal="center"/>
    </xf>
    <xf numFmtId="41" fontId="17" fillId="0" borderId="0" xfId="9" quotePrefix="1" applyNumberFormat="1" applyFont="1" applyAlignment="1">
      <alignment horizontal="right"/>
    </xf>
    <xf numFmtId="0" fontId="20" fillId="0" borderId="0" xfId="9" applyFont="1" applyAlignment="1">
      <alignment horizontal="center"/>
    </xf>
    <xf numFmtId="41" fontId="12" fillId="0" borderId="0" xfId="9" applyNumberFormat="1" applyFont="1" applyAlignment="1">
      <alignment horizontal="right"/>
    </xf>
    <xf numFmtId="41" fontId="17" fillId="0" borderId="0" xfId="9" applyNumberFormat="1" applyFont="1" applyAlignment="1">
      <alignment horizontal="right"/>
    </xf>
    <xf numFmtId="0" fontId="6" fillId="0" borderId="0" xfId="0" applyFont="1" applyAlignment="1">
      <alignment horizontal="center"/>
    </xf>
    <xf numFmtId="170" fontId="8" fillId="0" borderId="0" xfId="6" applyNumberFormat="1" applyFont="1" applyBorder="1" applyAlignment="1">
      <alignment horizontal="right"/>
    </xf>
    <xf numFmtId="170" fontId="15" fillId="0" borderId="0" xfId="6" applyNumberFormat="1" applyFont="1" applyBorder="1" applyAlignment="1">
      <alignment horizontal="right"/>
    </xf>
    <xf numFmtId="167" fontId="0" fillId="0" borderId="0" xfId="6" applyFont="1"/>
    <xf numFmtId="0" fontId="8" fillId="0" borderId="0" xfId="10" applyFont="1" applyAlignment="1">
      <alignment horizontal="center"/>
    </xf>
    <xf numFmtId="0" fontId="8" fillId="0" borderId="0" xfId="10" applyFont="1"/>
    <xf numFmtId="0" fontId="15" fillId="0" borderId="0" xfId="10" applyFont="1"/>
    <xf numFmtId="170" fontId="8" fillId="0" borderId="0" xfId="6" quotePrefix="1" applyNumberFormat="1" applyFont="1" applyAlignment="1">
      <alignment horizontal="right"/>
    </xf>
    <xf numFmtId="170" fontId="15" fillId="0" borderId="0" xfId="6" quotePrefix="1" applyNumberFormat="1" applyFont="1" applyAlignment="1">
      <alignment horizontal="right"/>
    </xf>
    <xf numFmtId="170" fontId="8" fillId="0" borderId="0" xfId="6" applyNumberFormat="1" applyFont="1" applyAlignment="1">
      <alignment horizontal="right"/>
    </xf>
    <xf numFmtId="170" fontId="15" fillId="0" borderId="0" xfId="6" applyNumberFormat="1" applyFont="1" applyAlignment="1">
      <alignment horizontal="right"/>
    </xf>
    <xf numFmtId="0" fontId="6" fillId="0" borderId="9" xfId="0" applyFont="1" applyBorder="1"/>
    <xf numFmtId="170" fontId="15" fillId="0" borderId="9" xfId="6" applyNumberFormat="1" applyFont="1" applyBorder="1" applyAlignment="1">
      <alignment horizontal="right"/>
    </xf>
    <xf numFmtId="170" fontId="15" fillId="0" borderId="0" xfId="6" applyNumberFormat="1" applyFont="1"/>
    <xf numFmtId="0" fontId="15" fillId="0" borderId="9" xfId="0" applyFont="1" applyBorder="1"/>
    <xf numFmtId="170" fontId="15" fillId="0" borderId="9" xfId="6" applyNumberFormat="1" applyFont="1" applyBorder="1"/>
    <xf numFmtId="170" fontId="15" fillId="0" borderId="0" xfId="6" applyNumberFormat="1" applyFont="1" applyBorder="1"/>
    <xf numFmtId="167" fontId="15" fillId="0" borderId="0" xfId="6" applyFont="1"/>
    <xf numFmtId="170" fontId="8" fillId="0" borderId="0" xfId="6" quotePrefix="1" applyNumberFormat="1" applyFont="1" applyBorder="1" applyAlignment="1">
      <alignment horizontal="center"/>
    </xf>
    <xf numFmtId="170" fontId="8" fillId="0" borderId="0" xfId="6" quotePrefix="1" applyNumberFormat="1" applyFont="1" applyBorder="1" applyAlignment="1">
      <alignment horizontal="right"/>
    </xf>
    <xf numFmtId="0" fontId="21" fillId="0" borderId="0" xfId="9" applyFont="1"/>
    <xf numFmtId="3" fontId="8" fillId="0" borderId="7" xfId="0" quotePrefix="1" applyNumberFormat="1" applyFont="1" applyBorder="1" applyAlignment="1">
      <alignment horizontal="right"/>
    </xf>
    <xf numFmtId="3" fontId="15" fillId="0" borderId="7" xfId="0" quotePrefix="1" applyNumberFormat="1" applyFont="1" applyBorder="1" applyAlignment="1">
      <alignment horizontal="right"/>
    </xf>
    <xf numFmtId="164" fontId="15" fillId="0" borderId="0" xfId="6" applyNumberFormat="1" applyFont="1"/>
    <xf numFmtId="164" fontId="15" fillId="0" borderId="0" xfId="1" applyNumberFormat="1" applyFont="1" applyBorder="1" applyAlignment="1">
      <alignment horizontal="center"/>
    </xf>
    <xf numFmtId="0" fontId="8" fillId="0" borderId="9" xfId="0" applyFont="1" applyBorder="1"/>
    <xf numFmtId="170" fontId="15" fillId="0" borderId="9" xfId="6" applyNumberFormat="1" applyFont="1" applyBorder="1" applyAlignment="1">
      <alignment horizontal="center"/>
    </xf>
    <xf numFmtId="164" fontId="15" fillId="0" borderId="0" xfId="6" applyNumberFormat="1" applyFont="1" applyBorder="1" applyAlignment="1">
      <alignment horizontal="center"/>
    </xf>
    <xf numFmtId="0" fontId="8" fillId="0" borderId="0" xfId="0" applyFont="1" applyAlignment="1">
      <alignment horizontal="left" vertical="top" wrapText="1"/>
    </xf>
    <xf numFmtId="0" fontId="22" fillId="0" borderId="0" xfId="0" applyFont="1" applyAlignment="1">
      <alignment horizontal="left" vertical="center" indent="4"/>
    </xf>
    <xf numFmtId="170" fontId="15" fillId="0" borderId="0" xfId="12" quotePrefix="1" applyNumberFormat="1" applyFont="1" applyAlignment="1">
      <alignment horizontal="right"/>
    </xf>
    <xf numFmtId="164" fontId="8" fillId="0" borderId="0" xfId="11" applyNumberFormat="1" applyFont="1"/>
    <xf numFmtId="41" fontId="14" fillId="0" borderId="0" xfId="9" applyNumberFormat="1" applyFont="1" applyAlignment="1">
      <alignment horizontal="right"/>
    </xf>
    <xf numFmtId="0" fontId="8" fillId="0" borderId="0" xfId="9" applyFont="1" applyAlignment="1">
      <alignment horizontal="center"/>
    </xf>
    <xf numFmtId="0" fontId="15" fillId="0" borderId="0" xfId="9" applyFont="1" applyAlignment="1">
      <alignment vertical="center" wrapText="1"/>
    </xf>
    <xf numFmtId="170" fontId="8" fillId="0" borderId="0" xfId="9" applyNumberFormat="1" applyFont="1" applyAlignment="1">
      <alignment horizontal="right" vertical="center" wrapText="1"/>
    </xf>
    <xf numFmtId="170" fontId="15" fillId="0" borderId="0" xfId="9" applyNumberFormat="1" applyFont="1" applyAlignment="1">
      <alignment vertical="center" wrapText="1"/>
    </xf>
    <xf numFmtId="0" fontId="15" fillId="0" borderId="0" xfId="9" applyFont="1"/>
    <xf numFmtId="0" fontId="15" fillId="0" borderId="0" xfId="9" applyFont="1" applyAlignment="1">
      <alignment horizontal="right" vertical="center" wrapText="1"/>
    </xf>
    <xf numFmtId="170" fontId="8" fillId="0" borderId="0" xfId="6" applyNumberFormat="1" applyFont="1" applyBorder="1"/>
    <xf numFmtId="170" fontId="16" fillId="0" borderId="0" xfId="6" applyNumberFormat="1" applyFont="1" applyBorder="1" applyAlignment="1">
      <alignment horizontal="right"/>
    </xf>
    <xf numFmtId="41" fontId="15" fillId="0" borderId="0" xfId="9" applyNumberFormat="1" applyFont="1" applyAlignment="1">
      <alignment horizontal="right"/>
    </xf>
    <xf numFmtId="41" fontId="15" fillId="0" borderId="0" xfId="9" quotePrefix="1" applyNumberFormat="1" applyFont="1" applyAlignment="1">
      <alignment horizontal="right"/>
    </xf>
    <xf numFmtId="170" fontId="8" fillId="0" borderId="0" xfId="9" applyNumberFormat="1" applyFont="1" applyAlignment="1">
      <alignment vertical="center" wrapText="1"/>
    </xf>
    <xf numFmtId="0" fontId="15" fillId="0" borderId="0" xfId="9" applyFont="1" applyAlignment="1">
      <alignment horizontal="right"/>
    </xf>
    <xf numFmtId="41" fontId="8" fillId="0" borderId="0" xfId="9" applyNumberFormat="1" applyFont="1" applyAlignment="1">
      <alignment horizontal="right"/>
    </xf>
    <xf numFmtId="0" fontId="20" fillId="0" borderId="0" xfId="9" applyFont="1"/>
    <xf numFmtId="43" fontId="19" fillId="0" borderId="0" xfId="9" applyNumberFormat="1"/>
    <xf numFmtId="41" fontId="20" fillId="0" borderId="0" xfId="9" applyNumberFormat="1" applyFont="1"/>
    <xf numFmtId="0" fontId="24" fillId="0" borderId="0" xfId="0" applyFont="1"/>
    <xf numFmtId="164" fontId="24" fillId="0" borderId="0" xfId="0" applyNumberFormat="1" applyFont="1"/>
    <xf numFmtId="0" fontId="19" fillId="0" borderId="0" xfId="0" applyFont="1"/>
    <xf numFmtId="0" fontId="20" fillId="0" borderId="0" xfId="0" applyFont="1" applyAlignment="1">
      <alignment horizontal="center"/>
    </xf>
    <xf numFmtId="164" fontId="20" fillId="0" borderId="0" xfId="0" applyNumberFormat="1" applyFont="1" applyAlignment="1">
      <alignment horizontal="center"/>
    </xf>
    <xf numFmtId="0" fontId="19" fillId="0" borderId="0" xfId="0" applyFont="1" applyAlignment="1">
      <alignment horizontal="center"/>
    </xf>
    <xf numFmtId="164" fontId="20" fillId="0" borderId="0" xfId="0" applyNumberFormat="1" applyFont="1"/>
    <xf numFmtId="164" fontId="19" fillId="0" borderId="0" xfId="0" applyNumberFormat="1" applyFont="1"/>
    <xf numFmtId="0" fontId="19" fillId="0" borderId="0" xfId="0" quotePrefix="1" applyFont="1" applyAlignment="1">
      <alignment horizontal="center"/>
    </xf>
    <xf numFmtId="164" fontId="20" fillId="0" borderId="0" xfId="1" applyNumberFormat="1" applyFont="1"/>
    <xf numFmtId="164" fontId="19" fillId="0" borderId="0" xfId="1" applyNumberFormat="1" applyFont="1"/>
    <xf numFmtId="43" fontId="19" fillId="0" borderId="0" xfId="1" applyFont="1"/>
    <xf numFmtId="164" fontId="25" fillId="0" borderId="0" xfId="1" applyNumberFormat="1" applyFont="1"/>
    <xf numFmtId="164" fontId="26" fillId="0" borderId="0" xfId="1" applyNumberFormat="1" applyFont="1"/>
    <xf numFmtId="43" fontId="26" fillId="0" borderId="0" xfId="1" applyFont="1"/>
    <xf numFmtId="0" fontId="20" fillId="0" borderId="0" xfId="0" applyFont="1"/>
    <xf numFmtId="164" fontId="27" fillId="0" borderId="0" xfId="1" applyNumberFormat="1" applyFont="1"/>
    <xf numFmtId="164" fontId="28" fillId="0" borderId="0" xfId="1" applyNumberFormat="1" applyFont="1"/>
    <xf numFmtId="43" fontId="27" fillId="0" borderId="0" xfId="1" applyFont="1"/>
    <xf numFmtId="43" fontId="19" fillId="0" borderId="0" xfId="0" applyNumberFormat="1" applyFont="1"/>
    <xf numFmtId="164" fontId="25" fillId="0" borderId="0" xfId="1" quotePrefix="1" applyNumberFormat="1" applyFont="1" applyBorder="1" applyAlignment="1">
      <alignment horizontal="center"/>
    </xf>
    <xf numFmtId="164" fontId="26" fillId="0" borderId="0" xfId="1" applyNumberFormat="1" applyFont="1" applyBorder="1"/>
    <xf numFmtId="164" fontId="19" fillId="0" borderId="0" xfId="1" applyNumberFormat="1" applyFont="1" applyBorder="1"/>
    <xf numFmtId="0" fontId="29" fillId="0" borderId="0" xfId="0" applyFont="1"/>
    <xf numFmtId="164" fontId="30" fillId="0" borderId="0" xfId="1" applyNumberFormat="1" applyFont="1"/>
    <xf numFmtId="164" fontId="29" fillId="0" borderId="0" xfId="0" applyNumberFormat="1" applyFont="1"/>
    <xf numFmtId="164" fontId="24" fillId="0" borderId="0" xfId="1" applyNumberFormat="1" applyFont="1"/>
    <xf numFmtId="0" fontId="20" fillId="0" borderId="0" xfId="1" applyNumberFormat="1" applyFont="1" applyAlignment="1">
      <alignment horizontal="center"/>
    </xf>
    <xf numFmtId="0" fontId="19" fillId="0" borderId="0" xfId="1" applyNumberFormat="1" applyFont="1" applyAlignment="1">
      <alignment horizontal="center"/>
    </xf>
    <xf numFmtId="164" fontId="20" fillId="0" borderId="0" xfId="1" applyNumberFormat="1" applyFont="1" applyAlignment="1">
      <alignment horizontal="center"/>
    </xf>
    <xf numFmtId="164" fontId="19" fillId="0" borderId="0" xfId="1" applyNumberFormat="1" applyFont="1" applyAlignment="1">
      <alignment horizontal="center"/>
    </xf>
    <xf numFmtId="49" fontId="19" fillId="0" borderId="0" xfId="0" applyNumberFormat="1" applyFont="1" applyAlignment="1">
      <alignment horizontal="center"/>
    </xf>
    <xf numFmtId="164" fontId="24" fillId="0" borderId="0" xfId="1" applyNumberFormat="1" applyFont="1" applyAlignment="1">
      <alignment horizontal="center"/>
    </xf>
    <xf numFmtId="164" fontId="27" fillId="0" borderId="2" xfId="1" applyNumberFormat="1" applyFont="1" applyBorder="1" applyAlignment="1">
      <alignment horizontal="center"/>
    </xf>
    <xf numFmtId="164" fontId="27" fillId="0" borderId="0" xfId="1" applyNumberFormat="1" applyFont="1" applyAlignment="1">
      <alignment horizontal="center"/>
    </xf>
    <xf numFmtId="164" fontId="24" fillId="0" borderId="0" xfId="1" applyNumberFormat="1" applyFont="1" applyFill="1"/>
    <xf numFmtId="0" fontId="20" fillId="0" borderId="0" xfId="1" applyNumberFormat="1" applyFont="1" applyFill="1"/>
    <xf numFmtId="0" fontId="19" fillId="0" borderId="0" xfId="1" applyNumberFormat="1" applyFont="1"/>
    <xf numFmtId="164" fontId="20" fillId="0" borderId="0" xfId="1" applyNumberFormat="1" applyFont="1" applyFill="1" applyAlignment="1">
      <alignment horizontal="center"/>
    </xf>
    <xf numFmtId="164" fontId="20" fillId="0" borderId="0" xfId="1" applyNumberFormat="1" applyFont="1" applyFill="1"/>
    <xf numFmtId="164" fontId="20" fillId="0" borderId="7" xfId="1" applyNumberFormat="1" applyFont="1" applyFill="1" applyBorder="1"/>
    <xf numFmtId="164" fontId="19" fillId="0" borderId="7" xfId="1" applyNumberFormat="1" applyFont="1" applyBorder="1"/>
    <xf numFmtId="164" fontId="20" fillId="0" borderId="0" xfId="1" applyNumberFormat="1" applyFont="1" applyFill="1" applyBorder="1"/>
    <xf numFmtId="164" fontId="20" fillId="0" borderId="9" xfId="1" applyNumberFormat="1" applyFont="1" applyFill="1" applyBorder="1"/>
    <xf numFmtId="164" fontId="19" fillId="0" borderId="9" xfId="1" applyNumberFormat="1" applyFont="1" applyBorder="1"/>
    <xf numFmtId="164" fontId="25" fillId="0" borderId="0" xfId="1" applyNumberFormat="1" applyFont="1" applyFill="1"/>
    <xf numFmtId="164" fontId="27" fillId="0" borderId="0" xfId="1" applyNumberFormat="1" applyFont="1" applyFill="1"/>
    <xf numFmtId="164" fontId="27" fillId="0" borderId="0" xfId="1" applyNumberFormat="1" applyFont="1" applyFill="1" applyBorder="1"/>
    <xf numFmtId="164" fontId="27" fillId="0" borderId="0" xfId="1" applyNumberFormat="1" applyFont="1" applyBorder="1"/>
    <xf numFmtId="0" fontId="18" fillId="0" borderId="0" xfId="0" applyFont="1"/>
    <xf numFmtId="0" fontId="3" fillId="0" borderId="0" xfId="0" applyFont="1"/>
    <xf numFmtId="164" fontId="3" fillId="0" borderId="0" xfId="1" applyNumberFormat="1" applyFont="1" applyAlignment="1"/>
    <xf numFmtId="43" fontId="18" fillId="0" borderId="0" xfId="0" applyNumberFormat="1" applyFont="1"/>
    <xf numFmtId="0" fontId="31" fillId="0" borderId="0" xfId="0" applyFont="1"/>
    <xf numFmtId="164" fontId="10" fillId="0" borderId="0" xfId="1" applyNumberFormat="1" applyFont="1" applyAlignment="1"/>
    <xf numFmtId="43" fontId="20" fillId="0" borderId="0" xfId="1" applyFont="1"/>
    <xf numFmtId="164" fontId="20" fillId="0" borderId="10" xfId="1" applyNumberFormat="1" applyFont="1" applyBorder="1"/>
    <xf numFmtId="164" fontId="19" fillId="0" borderId="10" xfId="1" applyNumberFormat="1" applyFont="1" applyBorder="1"/>
    <xf numFmtId="43" fontId="25" fillId="0" borderId="0" xfId="1" applyFont="1"/>
    <xf numFmtId="0" fontId="21" fillId="0" borderId="0" xfId="0" applyFont="1"/>
    <xf numFmtId="43" fontId="31" fillId="0" borderId="0" xfId="1" applyFont="1"/>
    <xf numFmtId="164" fontId="21" fillId="0" borderId="0" xfId="1" applyNumberFormat="1" applyFont="1"/>
    <xf numFmtId="43" fontId="24" fillId="0" borderId="0" xfId="1" applyFont="1"/>
    <xf numFmtId="164" fontId="28" fillId="0" borderId="0" xfId="1" applyNumberFormat="1" applyFont="1" applyAlignment="1">
      <alignment horizontal="center"/>
    </xf>
    <xf numFmtId="43" fontId="20" fillId="0" borderId="0" xfId="1" applyFont="1" applyAlignment="1">
      <alignment horizontal="center"/>
    </xf>
    <xf numFmtId="0" fontId="24" fillId="0" borderId="0" xfId="0" applyFont="1" applyAlignment="1">
      <alignment horizontal="left"/>
    </xf>
    <xf numFmtId="0" fontId="24" fillId="0" borderId="0" xfId="0" applyFont="1" applyAlignment="1">
      <alignment horizontal="center"/>
    </xf>
    <xf numFmtId="43" fontId="21" fillId="0" borderId="0" xfId="1" applyFont="1"/>
    <xf numFmtId="0" fontId="19" fillId="0" borderId="0" xfId="0" applyFont="1" applyAlignment="1">
      <alignment horizontal="left"/>
    </xf>
    <xf numFmtId="43" fontId="20" fillId="0" borderId="0" xfId="1" applyFont="1" applyFill="1" applyAlignment="1">
      <alignment horizontal="center"/>
    </xf>
    <xf numFmtId="0" fontId="29" fillId="0" borderId="0" xfId="0" applyFont="1" applyAlignment="1">
      <alignment horizontal="center"/>
    </xf>
    <xf numFmtId="0" fontId="21" fillId="0" borderId="0" xfId="0" applyFont="1" applyAlignment="1">
      <alignment horizontal="left"/>
    </xf>
    <xf numFmtId="0" fontId="21" fillId="0" borderId="0" xfId="0" applyFont="1" applyAlignment="1">
      <alignment horizontal="center"/>
    </xf>
    <xf numFmtId="164" fontId="31" fillId="0" borderId="0" xfId="1" applyNumberFormat="1" applyFont="1" applyAlignment="1">
      <alignment horizontal="center"/>
    </xf>
    <xf numFmtId="164" fontId="25" fillId="0" borderId="0" xfId="1" applyNumberFormat="1" applyFont="1" applyAlignment="1">
      <alignment horizontal="center"/>
    </xf>
    <xf numFmtId="43" fontId="32" fillId="0" borderId="0" xfId="1" applyFont="1"/>
    <xf numFmtId="164" fontId="26" fillId="0" borderId="0" xfId="1" applyNumberFormat="1" applyFont="1" applyAlignment="1">
      <alignment horizontal="center"/>
    </xf>
    <xf numFmtId="43" fontId="32" fillId="0" borderId="0" xfId="1" applyFont="1" applyAlignment="1">
      <alignment horizontal="center"/>
    </xf>
    <xf numFmtId="43" fontId="26" fillId="0" borderId="0" xfId="1" applyFont="1" applyAlignment="1">
      <alignment horizontal="center"/>
    </xf>
    <xf numFmtId="164" fontId="20" fillId="0" borderId="0" xfId="1" applyNumberFormat="1" applyFont="1" applyBorder="1" applyAlignment="1">
      <alignment horizontal="center"/>
    </xf>
    <xf numFmtId="43" fontId="21" fillId="0" borderId="0" xfId="1" applyFont="1" applyBorder="1" applyAlignment="1">
      <alignment horizontal="center"/>
    </xf>
    <xf numFmtId="43" fontId="21" fillId="0" borderId="0" xfId="1" applyFont="1" applyBorder="1"/>
    <xf numFmtId="43" fontId="21" fillId="0" borderId="9" xfId="1" applyFont="1" applyBorder="1"/>
    <xf numFmtId="164" fontId="18" fillId="0" borderId="0" xfId="1" applyNumberFormat="1" applyFont="1" applyAlignment="1"/>
    <xf numFmtId="0" fontId="10" fillId="0" borderId="0" xfId="1" applyNumberFormat="1" applyFont="1" applyAlignment="1"/>
    <xf numFmtId="164" fontId="10" fillId="0" borderId="0" xfId="1" applyNumberFormat="1" applyFont="1" applyAlignment="1">
      <alignment horizontal="center"/>
    </xf>
    <xf numFmtId="164" fontId="18" fillId="0" borderId="0" xfId="1" applyNumberFormat="1" applyFont="1" applyAlignment="1">
      <alignment horizontal="center"/>
    </xf>
    <xf numFmtId="164" fontId="31" fillId="0" borderId="0" xfId="1" applyNumberFormat="1" applyFont="1"/>
    <xf numFmtId="164" fontId="25" fillId="0" borderId="0" xfId="1" applyNumberFormat="1" applyFont="1" applyBorder="1" applyAlignment="1">
      <alignment horizontal="center"/>
    </xf>
    <xf numFmtId="164" fontId="19" fillId="0" borderId="0" xfId="1" applyNumberFormat="1" applyFont="1" applyBorder="1" applyAlignment="1">
      <alignment horizontal="center"/>
    </xf>
    <xf numFmtId="43" fontId="19" fillId="0" borderId="0" xfId="1" applyFont="1" applyBorder="1"/>
    <xf numFmtId="164" fontId="25" fillId="0" borderId="0" xfId="1" applyNumberFormat="1" applyFont="1" applyBorder="1"/>
    <xf numFmtId="164" fontId="20" fillId="0" borderId="0" xfId="1" applyNumberFormat="1" applyFont="1" applyBorder="1"/>
    <xf numFmtId="43" fontId="20" fillId="0" borderId="0" xfId="1" applyFont="1" applyBorder="1"/>
    <xf numFmtId="0" fontId="20" fillId="0" borderId="0" xfId="0" applyFont="1" applyAlignment="1">
      <alignment wrapText="1"/>
    </xf>
    <xf numFmtId="164" fontId="20" fillId="0" borderId="0" xfId="1" applyNumberFormat="1" applyFont="1" applyBorder="1" applyAlignment="1">
      <alignment wrapText="1"/>
    </xf>
    <xf numFmtId="164" fontId="24" fillId="0" borderId="0" xfId="1" applyNumberFormat="1" applyFont="1" applyBorder="1"/>
    <xf numFmtId="9" fontId="20" fillId="0" borderId="0" xfId="0" applyNumberFormat="1" applyFont="1" applyAlignment="1">
      <alignment horizontal="center"/>
    </xf>
    <xf numFmtId="9" fontId="20" fillId="0" borderId="0" xfId="13" applyFont="1" applyAlignment="1">
      <alignment horizontal="center"/>
    </xf>
    <xf numFmtId="9" fontId="24" fillId="0" borderId="0" xfId="0" applyNumberFormat="1" applyFont="1" applyAlignment="1">
      <alignment horizontal="center"/>
    </xf>
    <xf numFmtId="164" fontId="19" fillId="0" borderId="2" xfId="1" applyNumberFormat="1" applyFont="1" applyBorder="1"/>
    <xf numFmtId="164" fontId="20" fillId="0" borderId="2" xfId="1" applyNumberFormat="1" applyFont="1" applyBorder="1"/>
    <xf numFmtId="164" fontId="20" fillId="0" borderId="9" xfId="1" applyNumberFormat="1" applyFont="1" applyBorder="1"/>
    <xf numFmtId="164" fontId="20" fillId="0" borderId="9" xfId="0" applyNumberFormat="1" applyFont="1" applyBorder="1"/>
    <xf numFmtId="164" fontId="20" fillId="0" borderId="7" xfId="1" applyNumberFormat="1" applyFont="1" applyBorder="1"/>
    <xf numFmtId="164" fontId="28" fillId="0" borderId="0" xfId="1" applyNumberFormat="1" applyFont="1" applyBorder="1"/>
    <xf numFmtId="0" fontId="8" fillId="0" borderId="10" xfId="7" applyFont="1" applyBorder="1" applyAlignment="1">
      <alignment horizontal="right"/>
    </xf>
    <xf numFmtId="164" fontId="15" fillId="0" borderId="10" xfId="7" applyNumberFormat="1" applyFont="1" applyBorder="1" applyAlignment="1">
      <alignment horizontal="right"/>
    </xf>
    <xf numFmtId="164" fontId="15" fillId="0" borderId="10" xfId="8" applyNumberFormat="1" applyFont="1" applyBorder="1" applyAlignment="1">
      <alignment vertical="center" wrapText="1"/>
    </xf>
    <xf numFmtId="9" fontId="15" fillId="0" borderId="0" xfId="13" applyFont="1" applyAlignment="1">
      <alignment horizontal="center"/>
    </xf>
    <xf numFmtId="164" fontId="20" fillId="0" borderId="11" xfId="1" applyNumberFormat="1" applyFont="1" applyBorder="1"/>
    <xf numFmtId="0" fontId="15" fillId="0" borderId="0" xfId="0" applyFont="1" applyAlignment="1">
      <alignment horizontal="left"/>
    </xf>
    <xf numFmtId="164" fontId="19" fillId="0" borderId="11" xfId="0" applyNumberFormat="1" applyFont="1" applyBorder="1"/>
    <xf numFmtId="43" fontId="20" fillId="0" borderId="0" xfId="0" applyNumberFormat="1" applyFont="1"/>
    <xf numFmtId="41" fontId="8" fillId="0" borderId="0" xfId="0" applyNumberFormat="1" applyFont="1" applyAlignment="1">
      <alignment horizontal="center" vertical="center"/>
    </xf>
    <xf numFmtId="41" fontId="15" fillId="0" borderId="0" xfId="0" applyNumberFormat="1" applyFont="1" applyAlignment="1">
      <alignment horizontal="center" vertical="center"/>
    </xf>
    <xf numFmtId="0" fontId="15" fillId="0" borderId="0" xfId="4" applyFont="1" applyAlignment="1">
      <alignment horizontal="justify" wrapText="1"/>
    </xf>
    <xf numFmtId="41" fontId="8" fillId="0" borderId="0" xfId="0" applyNumberFormat="1" applyFont="1" applyAlignment="1">
      <alignment horizontal="right" vertical="center"/>
    </xf>
    <xf numFmtId="41" fontId="15" fillId="0" borderId="0" xfId="0" applyNumberFormat="1" applyFont="1" applyAlignment="1">
      <alignment horizontal="right" vertical="center"/>
    </xf>
    <xf numFmtId="0" fontId="15" fillId="0" borderId="0" xfId="4" applyFont="1" applyAlignment="1">
      <alignment horizontal="left" vertical="center" wrapText="1"/>
    </xf>
    <xf numFmtId="0" fontId="10" fillId="0" borderId="0" xfId="0" applyFont="1" applyAlignment="1">
      <alignment horizontal="center"/>
    </xf>
    <xf numFmtId="0" fontId="15" fillId="0" borderId="0" xfId="4" applyFont="1" applyAlignment="1">
      <alignment horizontal="left" wrapText="1"/>
    </xf>
    <xf numFmtId="0" fontId="15" fillId="0" borderId="0" xfId="0" applyFont="1" applyAlignment="1">
      <alignment horizontal="center"/>
    </xf>
    <xf numFmtId="0" fontId="8" fillId="0" borderId="0" xfId="0" applyFont="1" applyAlignment="1">
      <alignment horizontal="center"/>
    </xf>
    <xf numFmtId="0" fontId="15" fillId="0" borderId="0" xfId="0" applyFont="1" applyAlignment="1">
      <alignment horizontal="left" wrapText="1"/>
    </xf>
    <xf numFmtId="0" fontId="15" fillId="0" borderId="0" xfId="0" applyFont="1" applyAlignment="1">
      <alignment horizontal="left" vertical="top" wrapText="1"/>
    </xf>
    <xf numFmtId="0" fontId="33" fillId="0" borderId="0" xfId="0" applyFont="1"/>
    <xf numFmtId="0" fontId="33" fillId="0" borderId="0" xfId="0" applyFont="1" applyAlignment="1">
      <alignment vertical="center" wrapText="1"/>
    </xf>
    <xf numFmtId="0" fontId="9" fillId="0" borderId="0" xfId="4" applyFont="1"/>
    <xf numFmtId="0" fontId="34" fillId="0" borderId="0" xfId="0" applyFont="1"/>
    <xf numFmtId="43" fontId="18" fillId="0" borderId="0" xfId="1" applyFont="1"/>
    <xf numFmtId="164" fontId="15" fillId="0" borderId="0" xfId="1" applyNumberFormat="1" applyFont="1" applyAlignment="1"/>
    <xf numFmtId="3" fontId="15" fillId="0" borderId="0" xfId="0" applyNumberFormat="1" applyFont="1" applyAlignment="1">
      <alignment horizontal="right"/>
    </xf>
    <xf numFmtId="164" fontId="18" fillId="0" borderId="0" xfId="0" applyNumberFormat="1" applyFont="1"/>
    <xf numFmtId="37" fontId="8" fillId="0" borderId="7" xfId="0" applyNumberFormat="1" applyFont="1" applyBorder="1"/>
    <xf numFmtId="37" fontId="15" fillId="0" borderId="7" xfId="0" applyNumberFormat="1" applyFont="1" applyBorder="1"/>
    <xf numFmtId="37" fontId="8" fillId="0" borderId="0" xfId="0" applyNumberFormat="1" applyFont="1"/>
    <xf numFmtId="43" fontId="18" fillId="0" borderId="0" xfId="1" applyFont="1" applyBorder="1"/>
    <xf numFmtId="164" fontId="8" fillId="0" borderId="7" xfId="0" applyNumberFormat="1" applyFont="1" applyBorder="1"/>
    <xf numFmtId="164" fontId="15" fillId="0" borderId="7" xfId="0" applyNumberFormat="1" applyFont="1" applyBorder="1"/>
    <xf numFmtId="164" fontId="15" fillId="0" borderId="0" xfId="0" quotePrefix="1" applyNumberFormat="1" applyFont="1" applyAlignment="1">
      <alignment horizontal="right"/>
    </xf>
    <xf numFmtId="43" fontId="18" fillId="0" borderId="0" xfId="1" applyFont="1" applyFill="1"/>
    <xf numFmtId="164" fontId="15" fillId="0" borderId="0" xfId="1" applyNumberFormat="1" applyFont="1" applyFill="1" applyBorder="1" applyAlignment="1">
      <alignment horizontal="center"/>
    </xf>
    <xf numFmtId="164" fontId="8" fillId="0" borderId="0" xfId="1" applyNumberFormat="1" applyFont="1"/>
    <xf numFmtId="164" fontId="8" fillId="0" borderId="2" xfId="0" applyNumberFormat="1" applyFont="1" applyBorder="1"/>
    <xf numFmtId="164" fontId="15" fillId="0" borderId="2" xfId="0" applyNumberFormat="1" applyFont="1" applyBorder="1"/>
    <xf numFmtId="164" fontId="8" fillId="0" borderId="0" xfId="1" applyNumberFormat="1" applyFont="1" applyAlignment="1">
      <alignment horizontal="right"/>
    </xf>
    <xf numFmtId="164" fontId="15" fillId="0" borderId="0" xfId="1" applyNumberFormat="1" applyFont="1" applyAlignment="1">
      <alignment horizontal="right"/>
    </xf>
    <xf numFmtId="164" fontId="8" fillId="0" borderId="0" xfId="1" applyNumberFormat="1" applyFont="1" applyFill="1"/>
    <xf numFmtId="1" fontId="15" fillId="0" borderId="0" xfId="0" applyNumberFormat="1" applyFont="1" applyAlignment="1">
      <alignment horizontal="right"/>
    </xf>
    <xf numFmtId="164" fontId="8" fillId="0" borderId="9" xfId="0" applyNumberFormat="1" applyFont="1" applyBorder="1"/>
    <xf numFmtId="164" fontId="15" fillId="0" borderId="9" xfId="0" applyNumberFormat="1" applyFont="1" applyBorder="1"/>
    <xf numFmtId="164" fontId="10" fillId="0" borderId="0" xfId="1" applyNumberFormat="1" applyFont="1"/>
    <xf numFmtId="164" fontId="18" fillId="0" borderId="0" xfId="1" applyNumberFormat="1" applyFont="1"/>
    <xf numFmtId="164" fontId="18" fillId="0" borderId="0" xfId="1" applyNumberFormat="1" applyFont="1" applyBorder="1" applyAlignment="1">
      <alignment horizontal="center"/>
    </xf>
    <xf numFmtId="41" fontId="10" fillId="0" borderId="0" xfId="0" applyNumberFormat="1" applyFont="1"/>
    <xf numFmtId="41" fontId="18" fillId="0" borderId="0" xfId="0" applyNumberFormat="1" applyFont="1"/>
    <xf numFmtId="0" fontId="34" fillId="0" borderId="0" xfId="0" applyFont="1" applyFill="1" applyAlignment="1">
      <alignment horizontal="center"/>
    </xf>
    <xf numFmtId="0" fontId="18" fillId="0" borderId="0" xfId="0" applyFont="1" applyFill="1"/>
    <xf numFmtId="0" fontId="10" fillId="0" borderId="0" xfId="0" applyFont="1" applyFill="1" applyAlignment="1">
      <alignment horizontal="center"/>
    </xf>
    <xf numFmtId="164" fontId="15" fillId="0" borderId="0" xfId="1" applyNumberFormat="1" applyFont="1" applyFill="1" applyAlignment="1">
      <alignment horizontal="right"/>
    </xf>
    <xf numFmtId="164" fontId="15" fillId="0" borderId="0" xfId="1" applyNumberFormat="1" applyFont="1" applyFill="1" applyAlignment="1"/>
    <xf numFmtId="0" fontId="8" fillId="0" borderId="0" xfId="1" quotePrefix="1" applyNumberFormat="1" applyFont="1" applyFill="1" applyAlignment="1">
      <alignment horizontal="right"/>
    </xf>
    <xf numFmtId="0" fontId="8" fillId="0" borderId="0" xfId="1" quotePrefix="1" applyNumberFormat="1" applyFont="1" applyFill="1" applyBorder="1" applyAlignment="1">
      <alignment horizontal="right"/>
    </xf>
    <xf numFmtId="164" fontId="8" fillId="0" borderId="0" xfId="1" applyNumberFormat="1" applyFont="1" applyFill="1" applyAlignment="1">
      <alignment horizontal="right"/>
    </xf>
    <xf numFmtId="164" fontId="8" fillId="0" borderId="0" xfId="1" applyNumberFormat="1" applyFont="1" applyFill="1" applyBorder="1" applyAlignment="1">
      <alignment horizontal="right"/>
    </xf>
    <xf numFmtId="164" fontId="15" fillId="0" borderId="0" xfId="1" applyNumberFormat="1" applyFont="1" applyFill="1"/>
    <xf numFmtId="164" fontId="15" fillId="0" borderId="0" xfId="1" applyNumberFormat="1" applyFont="1" applyFill="1" applyBorder="1"/>
    <xf numFmtId="0" fontId="15" fillId="0" borderId="0" xfId="0" quotePrefix="1" applyFont="1" applyAlignment="1">
      <alignment horizontal="center"/>
    </xf>
    <xf numFmtId="3" fontId="8" fillId="0" borderId="0" xfId="1" applyNumberFormat="1" applyFont="1" applyFill="1"/>
    <xf numFmtId="3" fontId="15" fillId="0" borderId="0" xfId="1" applyNumberFormat="1" applyFont="1" applyFill="1" applyAlignment="1">
      <alignment horizontal="right"/>
    </xf>
    <xf numFmtId="164" fontId="15" fillId="0" borderId="0" xfId="1" quotePrefix="1" applyNumberFormat="1" applyFont="1" applyFill="1"/>
    <xf numFmtId="164" fontId="8" fillId="0" borderId="0" xfId="0" applyNumberFormat="1" applyFont="1" applyFill="1"/>
    <xf numFmtId="3" fontId="8" fillId="0" borderId="2" xfId="1" applyNumberFormat="1" applyFont="1" applyFill="1" applyBorder="1"/>
    <xf numFmtId="3" fontId="15" fillId="0" borderId="2" xfId="1" applyNumberFormat="1" applyFont="1" applyFill="1" applyBorder="1" applyAlignment="1">
      <alignment horizontal="right"/>
    </xf>
    <xf numFmtId="164" fontId="15" fillId="0" borderId="0" xfId="1" quotePrefix="1" applyNumberFormat="1" applyFont="1" applyFill="1" applyBorder="1"/>
    <xf numFmtId="3" fontId="15" fillId="0" borderId="0" xfId="1" applyNumberFormat="1" applyFont="1" applyFill="1" applyBorder="1" applyAlignment="1">
      <alignment horizontal="right"/>
    </xf>
    <xf numFmtId="3" fontId="8" fillId="0" borderId="7" xfId="1" applyNumberFormat="1" applyFont="1" applyFill="1" applyBorder="1"/>
    <xf numFmtId="3" fontId="15" fillId="0" borderId="7" xfId="1" applyNumberFormat="1" applyFont="1" applyFill="1" applyBorder="1" applyAlignment="1">
      <alignment horizontal="right"/>
    </xf>
    <xf numFmtId="164" fontId="18" fillId="0" borderId="0" xfId="0" applyNumberFormat="1" applyFont="1" applyFill="1"/>
    <xf numFmtId="0" fontId="18" fillId="0" borderId="0" xfId="0" applyFont="1" applyAlignment="1">
      <alignment horizontal="center"/>
    </xf>
    <xf numFmtId="3" fontId="10" fillId="0" borderId="9" xfId="1" applyNumberFormat="1" applyFont="1" applyFill="1" applyBorder="1"/>
    <xf numFmtId="3" fontId="18" fillId="0" borderId="0" xfId="1" applyNumberFormat="1" applyFont="1" applyFill="1"/>
    <xf numFmtId="3" fontId="18" fillId="0" borderId="9" xfId="1" applyNumberFormat="1" applyFont="1" applyFill="1" applyBorder="1" applyAlignment="1">
      <alignment horizontal="right"/>
    </xf>
    <xf numFmtId="164" fontId="18" fillId="0" borderId="0" xfId="1" applyNumberFormat="1" applyFont="1" applyFill="1" applyBorder="1"/>
    <xf numFmtId="3" fontId="10" fillId="0" borderId="0" xfId="1" applyNumberFormat="1" applyFont="1" applyFill="1"/>
    <xf numFmtId="3" fontId="18" fillId="0" borderId="0" xfId="1" applyNumberFormat="1" applyFont="1" applyFill="1" applyAlignment="1">
      <alignment horizontal="right"/>
    </xf>
    <xf numFmtId="164" fontId="10" fillId="0" borderId="0" xfId="1" applyNumberFormat="1" applyFont="1" applyFill="1"/>
    <xf numFmtId="164" fontId="18" fillId="0" borderId="0" xfId="1" applyNumberFormat="1" applyFont="1" applyFill="1"/>
    <xf numFmtId="164" fontId="10" fillId="0" borderId="0" xfId="0" applyNumberFormat="1" applyFont="1"/>
    <xf numFmtId="164" fontId="18" fillId="0" borderId="0" xfId="1" applyNumberFormat="1" applyFont="1" applyFill="1" applyAlignment="1">
      <alignment horizontal="right"/>
    </xf>
    <xf numFmtId="43" fontId="15" fillId="0" borderId="0" xfId="1" quotePrefix="1" applyFont="1" applyAlignment="1">
      <alignment horizontal="right"/>
    </xf>
    <xf numFmtId="37" fontId="8" fillId="0" borderId="0" xfId="1" applyNumberFormat="1" applyFont="1" applyAlignment="1"/>
    <xf numFmtId="37" fontId="15" fillId="0" borderId="0" xfId="1" applyNumberFormat="1" applyFont="1" applyAlignment="1"/>
    <xf numFmtId="43" fontId="15" fillId="0" borderId="0" xfId="1" applyFont="1"/>
    <xf numFmtId="3" fontId="8" fillId="0" borderId="0" xfId="1" quotePrefix="1" applyNumberFormat="1" applyFont="1" applyFill="1" applyAlignment="1">
      <alignment horizontal="right"/>
    </xf>
    <xf numFmtId="3" fontId="8" fillId="0" borderId="2" xfId="0" quotePrefix="1" applyNumberFormat="1" applyFont="1" applyBorder="1"/>
    <xf numFmtId="3" fontId="15" fillId="0" borderId="2" xfId="0" quotePrefix="1" applyNumberFormat="1" applyFont="1" applyBorder="1"/>
    <xf numFmtId="0" fontId="15" fillId="0" borderId="0" xfId="0" quotePrefix="1" applyFont="1" applyAlignment="1">
      <alignment horizontal="right"/>
    </xf>
    <xf numFmtId="3" fontId="8" fillId="0" borderId="0" xfId="1" applyNumberFormat="1" applyFont="1" applyBorder="1" applyAlignment="1"/>
    <xf numFmtId="3" fontId="8" fillId="0" borderId="0" xfId="1" applyNumberFormat="1" applyFont="1" applyAlignment="1"/>
    <xf numFmtId="37" fontId="15" fillId="0" borderId="0" xfId="1" applyNumberFormat="1" applyFont="1" applyAlignment="1">
      <alignment horizontal="right"/>
    </xf>
    <xf numFmtId="3" fontId="15" fillId="0" borderId="0" xfId="1" applyNumberFormat="1" applyFont="1" applyAlignment="1"/>
    <xf numFmtId="3" fontId="8" fillId="0" borderId="2" xfId="1" applyNumberFormat="1" applyFont="1" applyBorder="1" applyAlignment="1"/>
    <xf numFmtId="3" fontId="15" fillId="0" borderId="2" xfId="1" applyNumberFormat="1" applyFont="1" applyBorder="1" applyAlignment="1"/>
    <xf numFmtId="43" fontId="10" fillId="0" borderId="0" xfId="1" applyFont="1"/>
    <xf numFmtId="3" fontId="8" fillId="0" borderId="0" xfId="0" quotePrefix="1" applyNumberFormat="1" applyFont="1"/>
    <xf numFmtId="43" fontId="15" fillId="0" borderId="0" xfId="1" applyFont="1" applyAlignment="1">
      <alignment horizontal="right"/>
    </xf>
    <xf numFmtId="3" fontId="8" fillId="0" borderId="7" xfId="0" applyNumberFormat="1" applyFont="1" applyBorder="1"/>
    <xf numFmtId="3" fontId="15" fillId="0" borderId="7" xfId="0" applyNumberFormat="1" applyFont="1" applyBorder="1"/>
    <xf numFmtId="37" fontId="8" fillId="0" borderId="0" xfId="1" applyNumberFormat="1" applyFont="1" applyAlignment="1">
      <alignment horizontal="right"/>
    </xf>
    <xf numFmtId="3" fontId="18" fillId="0" borderId="0" xfId="0" applyNumberFormat="1" applyFont="1"/>
    <xf numFmtId="3" fontId="8" fillId="0" borderId="2" xfId="1" quotePrefix="1" applyNumberFormat="1" applyFont="1" applyBorder="1" applyAlignment="1"/>
    <xf numFmtId="3" fontId="8" fillId="0" borderId="0" xfId="1" quotePrefix="1" applyNumberFormat="1" applyFont="1" applyBorder="1" applyAlignment="1"/>
    <xf numFmtId="164" fontId="15" fillId="0" borderId="2" xfId="1" quotePrefix="1" applyNumberFormat="1" applyFont="1" applyBorder="1" applyAlignment="1"/>
    <xf numFmtId="164" fontId="8" fillId="0" borderId="0" xfId="1" applyNumberFormat="1" applyFont="1" applyAlignment="1"/>
    <xf numFmtId="3" fontId="8" fillId="0" borderId="0" xfId="1" quotePrefix="1" applyNumberFormat="1" applyFont="1" applyAlignment="1"/>
    <xf numFmtId="3" fontId="15" fillId="0" borderId="0" xfId="1" quotePrefix="1" applyNumberFormat="1" applyFont="1" applyAlignment="1"/>
    <xf numFmtId="3" fontId="15" fillId="0" borderId="2" xfId="1" quotePrefix="1" applyNumberFormat="1" applyFont="1" applyBorder="1" applyAlignment="1"/>
    <xf numFmtId="3" fontId="8" fillId="0" borderId="7" xfId="1" applyNumberFormat="1" applyFont="1" applyBorder="1" applyAlignment="1"/>
    <xf numFmtId="3" fontId="15" fillId="0" borderId="7" xfId="1" applyNumberFormat="1" applyFont="1" applyBorder="1" applyAlignment="1"/>
    <xf numFmtId="3" fontId="8" fillId="0" borderId="9" xfId="0" applyNumberFormat="1" applyFont="1" applyBorder="1"/>
    <xf numFmtId="3" fontId="15" fillId="0" borderId="9" xfId="0" applyNumberFormat="1" applyFont="1" applyBorder="1"/>
    <xf numFmtId="3" fontId="15" fillId="0" borderId="0" xfId="1" applyNumberFormat="1" applyFont="1" applyBorder="1" applyAlignment="1"/>
    <xf numFmtId="0" fontId="18" fillId="0" borderId="0" xfId="0" applyFont="1" applyAlignment="1">
      <alignment horizontal="right"/>
    </xf>
    <xf numFmtId="0" fontId="33" fillId="0" borderId="0" xfId="0" applyFont="1" applyAlignment="1">
      <alignment horizontal="left"/>
    </xf>
    <xf numFmtId="0" fontId="33" fillId="0" borderId="0" xfId="0" applyFont="1" applyAlignment="1">
      <alignment horizontal="center"/>
    </xf>
    <xf numFmtId="43" fontId="8" fillId="0" borderId="0" xfId="0" applyNumberFormat="1" applyFont="1" applyAlignment="1">
      <alignment horizontal="center"/>
    </xf>
    <xf numFmtId="3" fontId="33" fillId="0" borderId="0" xfId="0" applyNumberFormat="1" applyFont="1"/>
    <xf numFmtId="0" fontId="33" fillId="0" borderId="0" xfId="0" applyFont="1" applyAlignment="1">
      <alignment horizontal="right"/>
    </xf>
    <xf numFmtId="43" fontId="33" fillId="0" borderId="0" xfId="1" applyFont="1"/>
    <xf numFmtId="164" fontId="36" fillId="0" borderId="0" xfId="1" applyNumberFormat="1" applyFont="1"/>
    <xf numFmtId="164" fontId="32" fillId="0" borderId="0" xfId="1" applyNumberFormat="1" applyFont="1"/>
    <xf numFmtId="164" fontId="31" fillId="0" borderId="2" xfId="1" applyNumberFormat="1" applyFont="1" applyBorder="1"/>
    <xf numFmtId="164" fontId="21" fillId="0" borderId="2" xfId="1" applyNumberFormat="1" applyFont="1" applyBorder="1"/>
    <xf numFmtId="164" fontId="37" fillId="0" borderId="0" xfId="1" applyNumberFormat="1" applyFont="1"/>
    <xf numFmtId="164" fontId="38" fillId="0" borderId="0" xfId="1" applyNumberFormat="1" applyFont="1"/>
    <xf numFmtId="164" fontId="35" fillId="0" borderId="9" xfId="1" applyNumberFormat="1" applyFont="1" applyBorder="1"/>
    <xf numFmtId="164" fontId="33" fillId="0" borderId="9" xfId="1" applyNumberFormat="1" applyFont="1" applyBorder="1"/>
    <xf numFmtId="164" fontId="35" fillId="0" borderId="0" xfId="0" applyNumberFormat="1" applyFont="1"/>
    <xf numFmtId="164" fontId="33" fillId="0" borderId="0" xfId="0" applyNumberFormat="1" applyFont="1"/>
    <xf numFmtId="164" fontId="8" fillId="0" borderId="0" xfId="0" applyNumberFormat="1" applyFont="1" applyAlignment="1">
      <alignment horizontal="center"/>
    </xf>
    <xf numFmtId="164" fontId="15" fillId="0" borderId="0" xfId="0" applyNumberFormat="1" applyFont="1" applyAlignment="1">
      <alignment horizontal="center"/>
    </xf>
    <xf numFmtId="164" fontId="8" fillId="0" borderId="0" xfId="1" applyNumberFormat="1" applyFont="1" applyAlignment="1">
      <alignment horizontal="center"/>
    </xf>
    <xf numFmtId="164" fontId="35" fillId="0" borderId="0" xfId="1" applyNumberFormat="1" applyFont="1" applyAlignment="1">
      <alignment horizontal="left"/>
    </xf>
    <xf numFmtId="164" fontId="33" fillId="0" borderId="0" xfId="1" applyNumberFormat="1" applyFont="1" applyAlignment="1">
      <alignment horizontal="left"/>
    </xf>
    <xf numFmtId="164" fontId="33" fillId="0" borderId="0" xfId="1" applyNumberFormat="1" applyFont="1" applyAlignment="1">
      <alignment horizontal="center"/>
    </xf>
    <xf numFmtId="164" fontId="33" fillId="0" borderId="0" xfId="1" applyNumberFormat="1" applyFont="1" applyBorder="1"/>
    <xf numFmtId="164" fontId="33" fillId="0" borderId="0" xfId="1" applyNumberFormat="1" applyFont="1"/>
    <xf numFmtId="164" fontId="35" fillId="0" borderId="0" xfId="1" applyNumberFormat="1" applyFont="1"/>
    <xf numFmtId="164" fontId="35" fillId="0" borderId="10" xfId="1" applyNumberFormat="1" applyFont="1" applyBorder="1"/>
    <xf numFmtId="164" fontId="33" fillId="0" borderId="10" xfId="1" applyNumberFormat="1" applyFont="1" applyBorder="1"/>
    <xf numFmtId="164" fontId="15" fillId="0" borderId="0" xfId="1" applyNumberFormat="1" applyFont="1" applyAlignment="1">
      <alignment horizontal="center"/>
    </xf>
    <xf numFmtId="164" fontId="8" fillId="0" borderId="0" xfId="1" quotePrefix="1" applyNumberFormat="1" applyFont="1" applyAlignment="1">
      <alignment horizontal="right"/>
    </xf>
    <xf numFmtId="0" fontId="35" fillId="0" borderId="0" xfId="0" applyFont="1"/>
    <xf numFmtId="43" fontId="33" fillId="0" borderId="0" xfId="0" applyNumberFormat="1" applyFont="1"/>
    <xf numFmtId="3" fontId="15" fillId="0" borderId="0" xfId="1" quotePrefix="1" applyNumberFormat="1" applyFont="1" applyAlignment="1">
      <alignment horizontal="right"/>
    </xf>
    <xf numFmtId="164" fontId="15" fillId="0" borderId="0" xfId="1" applyNumberFormat="1" applyFont="1" applyBorder="1"/>
    <xf numFmtId="3" fontId="15" fillId="0" borderId="0" xfId="1" applyNumberFormat="1" applyFont="1" applyAlignment="1">
      <alignment horizontal="right"/>
    </xf>
    <xf numFmtId="3" fontId="15" fillId="0" borderId="2" xfId="0" quotePrefix="1" applyNumberFormat="1" applyFont="1" applyBorder="1" applyAlignment="1">
      <alignment horizontal="right"/>
    </xf>
    <xf numFmtId="3" fontId="15" fillId="0" borderId="2" xfId="1" applyNumberFormat="1" applyFont="1" applyBorder="1"/>
    <xf numFmtId="164" fontId="15" fillId="0" borderId="2" xfId="1" applyNumberFormat="1" applyFont="1" applyBorder="1"/>
    <xf numFmtId="0" fontId="33" fillId="0" borderId="2" xfId="0" applyFont="1" applyBorder="1"/>
    <xf numFmtId="37" fontId="8" fillId="0" borderId="0" xfId="1" applyNumberFormat="1" applyFont="1" applyBorder="1" applyAlignment="1"/>
    <xf numFmtId="3" fontId="15" fillId="0" borderId="9" xfId="0" applyNumberFormat="1" applyFont="1" applyBorder="1" applyAlignment="1">
      <alignment horizontal="center"/>
    </xf>
    <xf numFmtId="0" fontId="33" fillId="0" borderId="9" xfId="0" applyFont="1" applyBorder="1" applyAlignment="1">
      <alignment horizontal="right"/>
    </xf>
    <xf numFmtId="3" fontId="15" fillId="0" borderId="0" xfId="0" applyNumberFormat="1" applyFont="1" applyAlignment="1">
      <alignment horizontal="center"/>
    </xf>
    <xf numFmtId="168" fontId="39" fillId="0" borderId="0" xfId="0" applyNumberFormat="1" applyFont="1"/>
    <xf numFmtId="168" fontId="40" fillId="0" borderId="0" xfId="0" applyNumberFormat="1" applyFont="1"/>
    <xf numFmtId="164" fontId="8" fillId="0" borderId="0" xfId="1" applyNumberFormat="1" applyFont="1" applyAlignment="1">
      <alignment horizontal="left"/>
    </xf>
    <xf numFmtId="164" fontId="8" fillId="0" borderId="0" xfId="1" applyNumberFormat="1" applyFont="1" applyBorder="1"/>
    <xf numFmtId="164" fontId="8" fillId="0" borderId="0" xfId="6" applyNumberFormat="1" applyFont="1" applyBorder="1" applyAlignment="1">
      <alignment horizontal="right"/>
    </xf>
    <xf numFmtId="164" fontId="8" fillId="0" borderId="0" xfId="0" quotePrefix="1" applyNumberFormat="1" applyFont="1" applyAlignment="1">
      <alignment horizontal="right"/>
    </xf>
    <xf numFmtId="0" fontId="10" fillId="0" borderId="0" xfId="9" applyFont="1" applyAlignment="1">
      <alignment horizontal="center"/>
    </xf>
    <xf numFmtId="0" fontId="18" fillId="0" borderId="0" xfId="9" applyFont="1" applyAlignment="1">
      <alignment horizontal="center"/>
    </xf>
    <xf numFmtId="41" fontId="10" fillId="0" borderId="0" xfId="9" quotePrefix="1" applyNumberFormat="1" applyFont="1" applyAlignment="1">
      <alignment horizontal="right"/>
    </xf>
    <xf numFmtId="41" fontId="10" fillId="0" borderId="0" xfId="9" applyNumberFormat="1" applyFont="1" applyAlignment="1">
      <alignment horizontal="center"/>
    </xf>
    <xf numFmtId="41" fontId="18" fillId="0" borderId="0" xfId="9" quotePrefix="1" applyNumberFormat="1" applyFont="1" applyAlignment="1">
      <alignment horizontal="right"/>
    </xf>
    <xf numFmtId="0" fontId="31" fillId="0" borderId="0" xfId="9" applyFont="1" applyAlignment="1">
      <alignment horizontal="center"/>
    </xf>
    <xf numFmtId="41" fontId="10" fillId="0" borderId="0" xfId="9" applyNumberFormat="1" applyFont="1" applyAlignment="1">
      <alignment horizontal="right"/>
    </xf>
    <xf numFmtId="41" fontId="18" fillId="0" borderId="0" xfId="9" applyNumberFormat="1" applyFont="1" applyAlignment="1">
      <alignment horizontal="right"/>
    </xf>
    <xf numFmtId="167" fontId="33" fillId="0" borderId="0" xfId="6" applyFont="1"/>
    <xf numFmtId="164" fontId="15" fillId="0" borderId="0" xfId="11" quotePrefix="1" applyNumberFormat="1" applyFont="1" applyAlignment="1">
      <alignment horizontal="right"/>
    </xf>
    <xf numFmtId="41" fontId="8" fillId="0" borderId="0" xfId="9" applyNumberFormat="1" applyFont="1"/>
    <xf numFmtId="41" fontId="21" fillId="0" borderId="0" xfId="9" applyNumberFormat="1" applyFont="1"/>
    <xf numFmtId="0" fontId="31" fillId="0" borderId="0" xfId="9" applyFont="1"/>
    <xf numFmtId="43" fontId="21" fillId="0" borderId="0" xfId="9" applyNumberFormat="1" applyFont="1"/>
    <xf numFmtId="41" fontId="31" fillId="0" borderId="0" xfId="9" applyNumberFormat="1" applyFont="1"/>
    <xf numFmtId="0" fontId="15" fillId="0" borderId="0" xfId="0" applyFont="1" applyAlignment="1">
      <alignment horizontal="center" wrapText="1"/>
    </xf>
    <xf numFmtId="0" fontId="15" fillId="0" borderId="0" xfId="0" applyFont="1" applyAlignment="1">
      <alignment wrapText="1"/>
    </xf>
    <xf numFmtId="164" fontId="8" fillId="0" borderId="0" xfId="1" applyNumberFormat="1" applyFont="1" applyAlignment="1">
      <alignment horizontal="right" wrapText="1"/>
    </xf>
    <xf numFmtId="0" fontId="8" fillId="0" borderId="0" xfId="0" applyFont="1" applyAlignment="1">
      <alignment horizontal="right" wrapText="1"/>
    </xf>
    <xf numFmtId="0" fontId="33" fillId="0" borderId="0" xfId="0" applyFont="1" applyAlignment="1">
      <alignment wrapText="1"/>
    </xf>
    <xf numFmtId="37" fontId="15" fillId="0" borderId="0" xfId="0" quotePrefix="1" applyNumberFormat="1" applyFont="1" applyAlignment="1">
      <alignment horizontal="right"/>
    </xf>
    <xf numFmtId="164" fontId="15" fillId="0" borderId="7" xfId="1" applyNumberFormat="1" applyFont="1" applyBorder="1"/>
    <xf numFmtId="0" fontId="15" fillId="0" borderId="7" xfId="0" applyFont="1" applyBorder="1"/>
    <xf numFmtId="43" fontId="15" fillId="0" borderId="0" xfId="0" applyNumberFormat="1" applyFont="1"/>
    <xf numFmtId="164" fontId="8" fillId="0" borderId="0" xfId="1" applyNumberFormat="1" applyFont="1" applyFill="1" applyBorder="1"/>
    <xf numFmtId="164" fontId="15" fillId="0" borderId="9" xfId="1" applyNumberFormat="1" applyFont="1" applyBorder="1"/>
    <xf numFmtId="164" fontId="15" fillId="0" borderId="10" xfId="1" applyNumberFormat="1" applyFont="1" applyBorder="1"/>
    <xf numFmtId="0" fontId="15" fillId="0" borderId="10" xfId="0" applyFont="1" applyBorder="1"/>
    <xf numFmtId="164" fontId="8" fillId="0" borderId="10" xfId="1" applyNumberFormat="1" applyFont="1" applyBorder="1"/>
    <xf numFmtId="0" fontId="8" fillId="0" borderId="0" xfId="1" quotePrefix="1" applyNumberFormat="1" applyFont="1" applyBorder="1" applyAlignment="1">
      <alignment horizontal="right"/>
    </xf>
    <xf numFmtId="164" fontId="8" fillId="0" borderId="0" xfId="1" applyNumberFormat="1" applyFont="1" applyBorder="1" applyAlignment="1">
      <alignment horizontal="right"/>
    </xf>
    <xf numFmtId="1" fontId="8" fillId="0" borderId="0" xfId="1" quotePrefix="1" applyNumberFormat="1" applyFont="1" applyAlignment="1">
      <alignment horizontal="right"/>
    </xf>
    <xf numFmtId="1" fontId="15" fillId="0" borderId="0" xfId="1" quotePrefix="1" applyNumberFormat="1" applyFont="1" applyAlignment="1">
      <alignment horizontal="right"/>
    </xf>
    <xf numFmtId="3" fontId="15" fillId="0" borderId="7" xfId="1" applyNumberFormat="1" applyFont="1" applyBorder="1"/>
    <xf numFmtId="3" fontId="15" fillId="0" borderId="0" xfId="1" applyNumberFormat="1" applyFont="1" applyBorder="1"/>
    <xf numFmtId="3" fontId="8" fillId="0" borderId="0" xfId="1" applyNumberFormat="1" applyFont="1" applyBorder="1"/>
    <xf numFmtId="3" fontId="15" fillId="0" borderId="0" xfId="1" applyNumberFormat="1" applyFont="1"/>
    <xf numFmtId="3" fontId="8" fillId="0" borderId="2" xfId="1" quotePrefix="1" applyNumberFormat="1" applyFont="1" applyFill="1" applyBorder="1" applyAlignment="1">
      <alignment horizontal="right"/>
    </xf>
    <xf numFmtId="3" fontId="15" fillId="0" borderId="2" xfId="1" quotePrefix="1" applyNumberFormat="1" applyFont="1" applyBorder="1" applyAlignment="1">
      <alignment horizontal="right"/>
    </xf>
    <xf numFmtId="164" fontId="15" fillId="0" borderId="0" xfId="1" applyNumberFormat="1" applyFont="1" applyFill="1" applyBorder="1" applyAlignment="1">
      <alignment horizontal="right"/>
    </xf>
    <xf numFmtId="0" fontId="41" fillId="0" borderId="0" xfId="0" applyFont="1"/>
    <xf numFmtId="0" fontId="8" fillId="0" borderId="0" xfId="1" quotePrefix="1" applyNumberFormat="1" applyFont="1" applyBorder="1" applyAlignment="1">
      <alignment horizontal="center"/>
    </xf>
    <xf numFmtId="164" fontId="8" fillId="0" borderId="0" xfId="1" applyNumberFormat="1" applyFont="1" applyBorder="1" applyAlignment="1">
      <alignment horizontal="center"/>
    </xf>
    <xf numFmtId="166" fontId="15" fillId="0" borderId="0" xfId="0" applyNumberFormat="1" applyFont="1"/>
    <xf numFmtId="43" fontId="15" fillId="0" borderId="0" xfId="0" quotePrefix="1" applyNumberFormat="1" applyFont="1"/>
    <xf numFmtId="0" fontId="41" fillId="0" borderId="0" xfId="0" applyFont="1" applyAlignment="1">
      <alignment horizontal="center"/>
    </xf>
    <xf numFmtId="0" fontId="21" fillId="0" borderId="0" xfId="0" quotePrefix="1" applyFont="1" applyAlignment="1">
      <alignment horizontal="center"/>
    </xf>
    <xf numFmtId="164" fontId="8" fillId="0" borderId="9" xfId="1" applyNumberFormat="1" applyFont="1" applyFill="1" applyBorder="1"/>
    <xf numFmtId="0" fontId="15" fillId="0" borderId="0" xfId="0" applyFont="1" applyFill="1"/>
    <xf numFmtId="164" fontId="15" fillId="0" borderId="0" xfId="1" quotePrefix="1" applyNumberFormat="1" applyFont="1" applyFill="1" applyAlignment="1">
      <alignment horizontal="right"/>
    </xf>
    <xf numFmtId="0" fontId="15" fillId="0" borderId="0" xfId="7" applyFont="1" applyFill="1" applyAlignment="1">
      <alignment horizontal="right"/>
    </xf>
    <xf numFmtId="43" fontId="8" fillId="0" borderId="0" xfId="1" applyFont="1" applyAlignment="1">
      <alignment horizontal="right"/>
    </xf>
    <xf numFmtId="43" fontId="15" fillId="0" borderId="0" xfId="1" applyFont="1" applyAlignment="1"/>
    <xf numFmtId="37" fontId="35" fillId="0" borderId="0" xfId="0" applyNumberFormat="1" applyFont="1"/>
    <xf numFmtId="0" fontId="15" fillId="0" borderId="0" xfId="0" applyFont="1" applyAlignment="1">
      <alignment horizontal="center"/>
    </xf>
    <xf numFmtId="43" fontId="0" fillId="0" borderId="0" xfId="1" applyFont="1"/>
    <xf numFmtId="0" fontId="0" fillId="0" borderId="0" xfId="0" applyAlignment="1">
      <alignment wrapText="1"/>
    </xf>
    <xf numFmtId="0" fontId="0" fillId="0" borderId="12" xfId="0" applyBorder="1" applyAlignment="1">
      <alignment wrapText="1"/>
    </xf>
    <xf numFmtId="0" fontId="0" fillId="0" borderId="12" xfId="0" applyBorder="1"/>
    <xf numFmtId="43" fontId="0" fillId="0" borderId="12" xfId="1" applyFont="1" applyBorder="1"/>
    <xf numFmtId="0" fontId="42" fillId="0" borderId="12" xfId="0" applyFont="1" applyBorder="1" applyAlignment="1">
      <alignment wrapText="1"/>
    </xf>
    <xf numFmtId="43" fontId="42" fillId="0" borderId="12" xfId="1" applyFont="1" applyBorder="1"/>
    <xf numFmtId="0" fontId="42" fillId="0" borderId="0" xfId="0" applyFont="1"/>
    <xf numFmtId="43" fontId="42" fillId="0" borderId="0" xfId="1" applyFont="1"/>
    <xf numFmtId="0" fontId="42" fillId="0" borderId="12" xfId="0" applyFont="1" applyBorder="1"/>
    <xf numFmtId="0" fontId="15" fillId="0" borderId="0" xfId="1" quotePrefix="1" applyNumberFormat="1" applyFont="1" applyAlignment="1">
      <alignment horizontal="right"/>
    </xf>
    <xf numFmtId="0" fontId="8" fillId="0" borderId="0" xfId="0" applyFont="1" applyAlignment="1">
      <alignment horizontal="center"/>
    </xf>
    <xf numFmtId="164" fontId="8" fillId="0" borderId="9" xfId="1" applyNumberFormat="1" applyFont="1" applyBorder="1"/>
    <xf numFmtId="43" fontId="21" fillId="0" borderId="0" xfId="0" applyNumberFormat="1" applyFont="1"/>
    <xf numFmtId="164" fontId="43" fillId="0" borderId="0" xfId="1" applyNumberFormat="1" applyFont="1" applyAlignment="1">
      <alignment horizontal="right"/>
    </xf>
    <xf numFmtId="164" fontId="15" fillId="0" borderId="0" xfId="1" applyNumberFormat="1" applyFont="1" applyAlignment="1">
      <alignment vertical="center" wrapText="1"/>
    </xf>
    <xf numFmtId="164" fontId="31" fillId="0" borderId="0" xfId="1" applyNumberFormat="1" applyFont="1" applyFill="1" applyAlignment="1">
      <alignment horizontal="center"/>
    </xf>
    <xf numFmtId="164" fontId="21" fillId="0" borderId="0" xfId="1" applyNumberFormat="1" applyFont="1" applyAlignment="1">
      <alignment horizontal="center"/>
    </xf>
    <xf numFmtId="164" fontId="8" fillId="0" borderId="7" xfId="1" applyNumberFormat="1" applyFont="1" applyBorder="1"/>
    <xf numFmtId="164" fontId="35" fillId="0" borderId="2" xfId="1" applyNumberFormat="1" applyFont="1" applyBorder="1"/>
    <xf numFmtId="0" fontId="8" fillId="0" borderId="0" xfId="1" applyNumberFormat="1" applyFont="1"/>
    <xf numFmtId="0" fontId="2" fillId="0" borderId="4" xfId="2" applyFont="1" applyBorder="1" applyAlignment="1">
      <alignment horizontal="center"/>
    </xf>
    <xf numFmtId="0" fontId="2" fillId="0" borderId="0" xfId="2" applyFont="1" applyAlignment="1">
      <alignment horizontal="center"/>
    </xf>
    <xf numFmtId="0" fontId="2" fillId="0" borderId="5" xfId="2" applyFont="1" applyBorder="1" applyAlignment="1">
      <alignment horizontal="center"/>
    </xf>
    <xf numFmtId="0" fontId="3" fillId="0" borderId="4" xfId="2" applyFont="1" applyBorder="1" applyAlignment="1">
      <alignment horizontal="center"/>
    </xf>
    <xf numFmtId="0" fontId="3" fillId="0" borderId="0" xfId="2" applyFont="1" applyAlignment="1">
      <alignment horizontal="center"/>
    </xf>
    <xf numFmtId="0" fontId="3" fillId="0" borderId="5" xfId="2" applyFont="1" applyBorder="1" applyAlignment="1">
      <alignment horizontal="center"/>
    </xf>
    <xf numFmtId="0" fontId="3" fillId="0" borderId="4" xfId="2" quotePrefix="1" applyFont="1" applyBorder="1" applyAlignment="1">
      <alignment horizontal="center"/>
    </xf>
    <xf numFmtId="0" fontId="3" fillId="0" borderId="0" xfId="2" quotePrefix="1"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10" fillId="0" borderId="0" xfId="0" applyFont="1" applyAlignment="1">
      <alignment horizontal="center"/>
    </xf>
    <xf numFmtId="0" fontId="8" fillId="0" borderId="0" xfId="0" applyFont="1" applyAlignment="1">
      <alignment horizontal="center"/>
    </xf>
    <xf numFmtId="0" fontId="15" fillId="0" borderId="0" xfId="4" applyFont="1" applyAlignment="1">
      <alignment horizontal="left" vertical="center" wrapText="1"/>
    </xf>
    <xf numFmtId="0" fontId="15" fillId="0" borderId="0" xfId="4" applyFont="1" applyAlignment="1">
      <alignment horizontal="justify" vertical="center" wrapText="1"/>
    </xf>
    <xf numFmtId="0" fontId="8" fillId="0" borderId="0" xfId="4" applyFont="1" applyAlignment="1">
      <alignment horizontal="left" vertical="center"/>
    </xf>
    <xf numFmtId="0" fontId="15" fillId="0" borderId="0" xfId="0" applyFont="1" applyAlignment="1">
      <alignment horizontal="left" wrapText="1"/>
    </xf>
    <xf numFmtId="41" fontId="8" fillId="0" borderId="0" xfId="0" applyNumberFormat="1" applyFont="1" applyAlignment="1">
      <alignment horizontal="center" vertical="center"/>
    </xf>
    <xf numFmtId="41" fontId="15" fillId="0" borderId="0" xfId="0" applyNumberFormat="1" applyFont="1" applyAlignment="1">
      <alignment horizontal="center" vertical="center"/>
    </xf>
    <xf numFmtId="0" fontId="15" fillId="0" borderId="0" xfId="4" applyFont="1" applyAlignment="1">
      <alignment horizontal="justify" wrapText="1"/>
    </xf>
    <xf numFmtId="41" fontId="8" fillId="0" borderId="0" xfId="0" applyNumberFormat="1" applyFont="1" applyAlignment="1">
      <alignment horizontal="right" vertical="center"/>
    </xf>
    <xf numFmtId="41" fontId="15" fillId="0" borderId="0" xfId="0" applyNumberFormat="1" applyFont="1" applyAlignment="1">
      <alignment horizontal="right" vertical="center"/>
    </xf>
    <xf numFmtId="0" fontId="8" fillId="0" borderId="0" xfId="4" applyFont="1" applyAlignment="1">
      <alignment horizontal="left" vertical="center" wrapText="1"/>
    </xf>
    <xf numFmtId="0" fontId="8" fillId="0" borderId="0" xfId="4" applyFont="1" applyAlignment="1">
      <alignment horizontal="center" vertical="center" wrapText="1"/>
    </xf>
    <xf numFmtId="0" fontId="15" fillId="0" borderId="0" xfId="0" applyFont="1" applyAlignment="1">
      <alignment horizontal="center"/>
    </xf>
    <xf numFmtId="0" fontId="8" fillId="0" borderId="0" xfId="4" applyFont="1" applyAlignment="1">
      <alignment horizontal="left"/>
    </xf>
    <xf numFmtId="0" fontId="15" fillId="0" borderId="0" xfId="4" applyFont="1" applyAlignment="1">
      <alignment horizontal="left" vertical="top" wrapText="1"/>
    </xf>
    <xf numFmtId="0" fontId="15" fillId="0" borderId="0" xfId="4" applyFont="1" applyAlignment="1">
      <alignment horizontal="left" wrapText="1"/>
    </xf>
    <xf numFmtId="0" fontId="10" fillId="0" borderId="0" xfId="3" applyFont="1" applyAlignment="1">
      <alignment horizontal="center" vertical="center"/>
    </xf>
    <xf numFmtId="44" fontId="10" fillId="0" borderId="0" xfId="0" applyNumberFormat="1" applyFont="1" applyAlignment="1">
      <alignment horizontal="center"/>
    </xf>
    <xf numFmtId="0" fontId="15" fillId="0" borderId="0" xfId="0" applyFont="1" applyAlignment="1">
      <alignment horizontal="left" vertical="center" wrapText="1"/>
    </xf>
    <xf numFmtId="169" fontId="10" fillId="0" borderId="0" xfId="7" applyNumberFormat="1" applyFont="1" applyAlignment="1">
      <alignment horizontal="center"/>
    </xf>
    <xf numFmtId="0" fontId="10" fillId="0" borderId="0" xfId="7" applyFont="1" applyAlignment="1">
      <alignment horizontal="center"/>
    </xf>
    <xf numFmtId="0" fontId="18" fillId="0" borderId="0" xfId="9" applyFont="1" applyAlignment="1">
      <alignment horizontal="left" wrapText="1"/>
    </xf>
    <xf numFmtId="0" fontId="10" fillId="0" borderId="0" xfId="9" applyFont="1" applyAlignment="1">
      <alignment horizontal="center"/>
    </xf>
    <xf numFmtId="0" fontId="15" fillId="0" borderId="0" xfId="0" applyFont="1" applyAlignment="1">
      <alignment horizontal="left" vertical="top" wrapText="1"/>
    </xf>
    <xf numFmtId="0" fontId="12" fillId="0" borderId="0" xfId="9" applyFont="1" applyAlignment="1">
      <alignment horizontal="center"/>
    </xf>
    <xf numFmtId="164" fontId="8" fillId="0" borderId="7" xfId="1" applyNumberFormat="1" applyFont="1" applyFill="1" applyBorder="1"/>
    <xf numFmtId="164" fontId="15" fillId="0" borderId="7" xfId="1" applyNumberFormat="1" applyFont="1" applyFill="1" applyBorder="1" applyAlignment="1">
      <alignment horizontal="right"/>
    </xf>
    <xf numFmtId="164" fontId="15" fillId="0" borderId="9" xfId="1" applyNumberFormat="1" applyFont="1" applyFill="1" applyBorder="1" applyAlignment="1">
      <alignment horizontal="right"/>
    </xf>
    <xf numFmtId="164" fontId="8" fillId="0" borderId="2" xfId="1" applyNumberFormat="1" applyFont="1" applyFill="1" applyBorder="1"/>
    <xf numFmtId="164" fontId="15" fillId="0" borderId="2" xfId="1" applyNumberFormat="1" applyFont="1" applyFill="1" applyBorder="1" applyAlignment="1">
      <alignment horizontal="right"/>
    </xf>
    <xf numFmtId="164" fontId="19" fillId="0" borderId="0" xfId="1" applyNumberFormat="1" applyFont="1" applyFill="1"/>
    <xf numFmtId="164" fontId="15" fillId="0" borderId="7" xfId="1" applyNumberFormat="1" applyFont="1" applyFill="1" applyBorder="1"/>
    <xf numFmtId="43" fontId="8" fillId="0" borderId="0" xfId="1" applyFont="1" applyAlignment="1"/>
    <xf numFmtId="43" fontId="8" fillId="0" borderId="2" xfId="1" quotePrefix="1" applyFont="1" applyBorder="1" applyAlignment="1"/>
  </cellXfs>
  <cellStyles count="14">
    <cellStyle name="Comma" xfId="1" builtinId="3"/>
    <cellStyle name="Comma 2 2" xfId="12" xr:uid="{8FCEE48A-2246-4AB0-93D4-25A882284B5B}"/>
    <cellStyle name="Comma 2 2 2" xfId="5" xr:uid="{C7EABE88-CB57-43A1-8F47-820D5E48D42D}"/>
    <cellStyle name="Comma 7" xfId="6" xr:uid="{7F68E171-C53F-4E21-A719-1ED1EAA28817}"/>
    <cellStyle name="Comma_tax" xfId="11" xr:uid="{06A63DE7-F114-431D-91D5-49052028EA54}"/>
    <cellStyle name="Normal" xfId="0" builtinId="0"/>
    <cellStyle name="Normal 10" xfId="8" xr:uid="{7087FE31-4D1E-4A8C-9F1B-B784BBFE4F49}"/>
    <cellStyle name="Normal 2 2 2" xfId="3" xr:uid="{1CC249C1-BD50-41B0-B349-5F0448E75394}"/>
    <cellStyle name="Normal 2 2 2 2" xfId="4" xr:uid="{90DD1F42-DDD8-4599-8583-EDB88B081CB9}"/>
    <cellStyle name="Normal 3" xfId="2" xr:uid="{8C49CA4A-5FF5-40A5-917D-AA7DAB146213}"/>
    <cellStyle name="Normal 6" xfId="7" xr:uid="{12FD6C3B-6220-42DE-AE36-58DE58A9E048}"/>
    <cellStyle name="Normal 8 2 2" xfId="9" xr:uid="{DBF0982F-E2B7-4748-B3ED-5705E62DDFD7}"/>
    <cellStyle name="Normal_ZAK-04" xfId="10" xr:uid="{FE3627D8-41BD-4385-937A-0C50958C6062}"/>
    <cellStyle name="Percent" xfId="13"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24</xdr:row>
      <xdr:rowOff>22860</xdr:rowOff>
    </xdr:from>
    <xdr:to>
      <xdr:col>3</xdr:col>
      <xdr:colOff>15241</xdr:colOff>
      <xdr:row>28</xdr:row>
      <xdr:rowOff>182880</xdr:rowOff>
    </xdr:to>
    <xdr:pic>
      <xdr:nvPicPr>
        <xdr:cNvPr id="2" name="Picture 1">
          <a:extLst>
            <a:ext uri="{FF2B5EF4-FFF2-40B4-BE49-F238E27FC236}">
              <a16:creationId xmlns:a16="http://schemas.microsoft.com/office/drawing/2014/main" id="{2E4B1674-38E0-4B98-B19C-6B1750D35BD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3401" y="5311140"/>
          <a:ext cx="1280160" cy="9525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82741</xdr:colOff>
      <xdr:row>34</xdr:row>
      <xdr:rowOff>51430</xdr:rowOff>
    </xdr:from>
    <xdr:ext cx="47358" cy="87579"/>
    <xdr:sp macro="" textlink="">
      <xdr:nvSpPr>
        <xdr:cNvPr id="2" name="TextBox 1">
          <a:extLst>
            <a:ext uri="{FF2B5EF4-FFF2-40B4-BE49-F238E27FC236}">
              <a16:creationId xmlns:a16="http://schemas.microsoft.com/office/drawing/2014/main" id="{E14E5CDD-2D1E-48C4-A4C2-95786343FF1E}"/>
            </a:ext>
          </a:extLst>
        </xdr:cNvPr>
        <xdr:cNvSpPr txBox="1"/>
      </xdr:nvSpPr>
      <xdr:spPr>
        <a:xfrm rot="19256313" flipV="1">
          <a:off x="2002981" y="4547230"/>
          <a:ext cx="47358" cy="875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400">
            <a:latin typeface="Arial" panose="020B0604020202020204" pitchFamily="34" charset="0"/>
            <a:cs typeface="Arial" panose="020B0604020202020204" pitchFamily="34" charset="0"/>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728343</xdr:colOff>
      <xdr:row>15</xdr:row>
      <xdr:rowOff>84370</xdr:rowOff>
    </xdr:from>
    <xdr:ext cx="140727" cy="45719"/>
    <xdr:sp macro="" textlink="">
      <xdr:nvSpPr>
        <xdr:cNvPr id="2" name="TextBox 1">
          <a:extLst>
            <a:ext uri="{FF2B5EF4-FFF2-40B4-BE49-F238E27FC236}">
              <a16:creationId xmlns:a16="http://schemas.microsoft.com/office/drawing/2014/main" id="{BB8B5548-5BED-4D44-A425-391785C70D3C}"/>
            </a:ext>
          </a:extLst>
        </xdr:cNvPr>
        <xdr:cNvSpPr txBox="1"/>
      </xdr:nvSpPr>
      <xdr:spPr>
        <a:xfrm rot="19256313" flipV="1">
          <a:off x="2427603" y="2454190"/>
          <a:ext cx="140727"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400">
            <a:latin typeface="Arial" panose="020B0604020202020204" pitchFamily="34" charset="0"/>
            <a:cs typeface="Arial" panose="020B0604020202020204" pitchFamily="34" charset="0"/>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240948</xdr:colOff>
      <xdr:row>17</xdr:row>
      <xdr:rowOff>97326</xdr:rowOff>
    </xdr:from>
    <xdr:ext cx="45719" cy="45719"/>
    <xdr:sp macro="" textlink="">
      <xdr:nvSpPr>
        <xdr:cNvPr id="2" name="TextBox 1">
          <a:extLst>
            <a:ext uri="{FF2B5EF4-FFF2-40B4-BE49-F238E27FC236}">
              <a16:creationId xmlns:a16="http://schemas.microsoft.com/office/drawing/2014/main" id="{6FE966C5-73C2-42C0-B095-1FB4382FCAA0}"/>
            </a:ext>
          </a:extLst>
        </xdr:cNvPr>
        <xdr:cNvSpPr txBox="1"/>
      </xdr:nvSpPr>
      <xdr:spPr>
        <a:xfrm rot="19256313">
          <a:off x="2679348" y="2893866"/>
          <a:ext cx="45719"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400">
            <a:latin typeface="Arial" panose="020B0604020202020204" pitchFamily="34" charset="0"/>
            <a:cs typeface="Arial" panose="020B0604020202020204" pitchFamily="34" charset="0"/>
          </a:endParaRPr>
        </a:p>
      </xdr:txBody>
    </xdr:sp>
    <xdr:clientData/>
  </xdr:oneCellAnchor>
  <xdr:oneCellAnchor>
    <xdr:from>
      <xdr:col>10</xdr:col>
      <xdr:colOff>38877</xdr:colOff>
      <xdr:row>15</xdr:row>
      <xdr:rowOff>57539</xdr:rowOff>
    </xdr:from>
    <xdr:ext cx="1476375" cy="847724"/>
    <xdr:sp macro="" textlink="">
      <xdr:nvSpPr>
        <xdr:cNvPr id="3" name="Rectangle 2">
          <a:extLst>
            <a:ext uri="{FF2B5EF4-FFF2-40B4-BE49-F238E27FC236}">
              <a16:creationId xmlns:a16="http://schemas.microsoft.com/office/drawing/2014/main" id="{C5E4BEB2-FC1B-43C7-A3EF-EB034CDF2AF3}"/>
            </a:ext>
          </a:extLst>
        </xdr:cNvPr>
        <xdr:cNvSpPr/>
      </xdr:nvSpPr>
      <xdr:spPr>
        <a:xfrm>
          <a:off x="7551964" y="2604019"/>
          <a:ext cx="1476375" cy="847724"/>
        </a:xfrm>
        <a:prstGeom prst="rect">
          <a:avLst/>
        </a:prstGeom>
        <a:noFill/>
      </xdr:spPr>
      <xdr:txBody>
        <a:bodyPr wrap="square" lIns="91440" tIns="45720" rIns="91440" bIns="45720">
          <a:noAutofit/>
          <a:scene3d>
            <a:camera prst="orthographicFront">
              <a:rot lat="0" lon="0" rev="0"/>
            </a:camera>
            <a:lightRig rig="contrasting" dir="t">
              <a:rot lat="0" lon="0" rev="4500000"/>
            </a:lightRig>
          </a:scene3d>
          <a:sp3d contourW="6350" prstMaterial="metal">
            <a:bevelT w="127000" h="31750" prst="relaxedInset"/>
            <a:contourClr>
              <a:schemeClr val="accent1">
                <a:shade val="75000"/>
              </a:schemeClr>
            </a:contourClr>
          </a:sp3d>
        </a:bodyPr>
        <a:lstStyle/>
        <a:p>
          <a:pPr algn="ctr"/>
          <a:endParaRPr lang="en-US" sz="5400" b="1" cap="all" spc="0">
            <a:ln w="0"/>
            <a:gradFill flip="none">
              <a:gsLst>
                <a:gs pos="0">
                  <a:schemeClr val="accent1">
                    <a:tint val="75000"/>
                    <a:shade val="75000"/>
                    <a:satMod val="170000"/>
                  </a:schemeClr>
                </a:gs>
                <a:gs pos="49000">
                  <a:schemeClr val="accent1">
                    <a:tint val="88000"/>
                    <a:shade val="65000"/>
                    <a:satMod val="172000"/>
                  </a:schemeClr>
                </a:gs>
                <a:gs pos="50000">
                  <a:schemeClr val="accent1">
                    <a:shade val="65000"/>
                    <a:satMod val="130000"/>
                  </a:schemeClr>
                </a:gs>
                <a:gs pos="92000">
                  <a:schemeClr val="accent1">
                    <a:shade val="50000"/>
                    <a:satMod val="120000"/>
                  </a:schemeClr>
                </a:gs>
                <a:gs pos="100000">
                  <a:schemeClr val="accent1">
                    <a:shade val="48000"/>
                    <a:satMod val="120000"/>
                  </a:schemeClr>
                </a:gs>
              </a:gsLst>
              <a:lin ang="5400000"/>
            </a:gradFill>
            <a:effectLst>
              <a:reflection blurRad="12700" stA="50000" endPos="50000" dist="5000" dir="5400000" sy="-100000" rotWithShape="0"/>
            </a:effectLst>
          </a:endParaRPr>
        </a:p>
      </xdr:txBody>
    </xdr:sp>
    <xdr:clientData/>
  </xdr:oneCellAnchor>
  <xdr:oneCellAnchor>
    <xdr:from>
      <xdr:col>10</xdr:col>
      <xdr:colOff>0</xdr:colOff>
      <xdr:row>17</xdr:row>
      <xdr:rowOff>97326</xdr:rowOff>
    </xdr:from>
    <xdr:ext cx="45719" cy="45719"/>
    <xdr:sp macro="" textlink="">
      <xdr:nvSpPr>
        <xdr:cNvPr id="4" name="TextBox 3">
          <a:extLst>
            <a:ext uri="{FF2B5EF4-FFF2-40B4-BE49-F238E27FC236}">
              <a16:creationId xmlns:a16="http://schemas.microsoft.com/office/drawing/2014/main" id="{189FCC87-BE79-49F1-8812-A517E95CE3DF}"/>
            </a:ext>
          </a:extLst>
        </xdr:cNvPr>
        <xdr:cNvSpPr txBox="1"/>
      </xdr:nvSpPr>
      <xdr:spPr>
        <a:xfrm rot="19256313">
          <a:off x="7825740" y="2893866"/>
          <a:ext cx="45719"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400">
            <a:latin typeface="Arial" panose="020B0604020202020204" pitchFamily="34" charset="0"/>
            <a:cs typeface="Arial" panose="020B0604020202020204" pitchFamily="34" charset="0"/>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22%20MES%20MALAK%20ACCOUNT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WUMS%20LIMITED/Desktop/GRC%20INFO/A%20GRC%20CLIENTS/PIONEER%20CEREALS/PIONEER%20CEREALS%20FS%2020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WUMS%20LIMITED/Desktop/GRC%20INFO/A%20GRC%20CLIENTS/WATERSTONE%20REALTY/WATERSTONE%20REALTY%202020/WATERSTONE%20REALTY%20LTD%20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ally.ERP9/Pand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
      <sheetName val="contents"/>
      <sheetName val="Co. Info"/>
      <sheetName val="DIR REP"/>
      <sheetName val="Dir. Report"/>
      <sheetName val="Auditor Rep."/>
      <sheetName val="INCOME STATEMENT"/>
      <sheetName val="BALANCE SHEET"/>
      <sheetName val="CHANGES IN EQUITY"/>
      <sheetName val="CASHFLOW"/>
      <sheetName val="N1"/>
      <sheetName val="N2,3"/>
      <sheetName val="N4"/>
      <sheetName val="Assets"/>
      <sheetName val="N6-10"/>
      <sheetName val="N11-16"/>
      <sheetName val="TAX"/>
    </sheetNames>
    <sheetDataSet>
      <sheetData sheetId="0"/>
      <sheetData sheetId="1"/>
      <sheetData sheetId="2"/>
      <sheetData sheetId="3"/>
      <sheetData sheetId="4"/>
      <sheetData sheetId="5"/>
      <sheetData sheetId="6"/>
      <sheetData sheetId="7"/>
      <sheetData sheetId="8"/>
      <sheetData sheetId="9"/>
      <sheetData sheetId="10"/>
      <sheetData sheetId="11">
        <row r="21">
          <cell r="G21">
            <v>363053</v>
          </cell>
        </row>
        <row r="23">
          <cell r="G23">
            <v>527900</v>
          </cell>
        </row>
      </sheetData>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
      <sheetName val="CONTENTS"/>
      <sheetName val="COR INF"/>
      <sheetName val="DR1"/>
      <sheetName val="DR2"/>
      <sheetName val="P &amp; L"/>
      <sheetName val="SFP"/>
      <sheetName val="SCE"/>
      <sheetName val="SCF"/>
      <sheetName val="N1-2"/>
      <sheetName val="N 3-5"/>
      <sheetName val="N6A"/>
      <sheetName val="N6"/>
      <sheetName val="N7-11"/>
      <sheetName val="N12-16"/>
      <sheetName val="P &amp; L SCH"/>
      <sheetName val="notes 1a"/>
      <sheetName val="note1b"/>
      <sheetName val="N18"/>
      <sheetName val="TB 2022"/>
      <sheetName val="TB 2019"/>
      <sheetName val="Tax"/>
      <sheetName val="CA"/>
      <sheetName val="TB 2018"/>
      <sheetName val="JVs"/>
      <sheetName val="EXT"/>
      <sheetName val="jv"/>
      <sheetName val="TB 2017"/>
      <sheetName val="New CLIENT JV"/>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2">
          <cell r="A2" t="str">
            <v>NOTES TO THE FINANCIAL STATEMENTS</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
      <sheetName val="CONT"/>
      <sheetName val="CI"/>
      <sheetName val="DR 1"/>
      <sheetName val="DR2 (2)"/>
      <sheetName val="SCI"/>
      <sheetName val="SFP"/>
      <sheetName val="SCE"/>
      <sheetName val="SCF"/>
      <sheetName val="N 3-6"/>
      <sheetName val="N76a"/>
      <sheetName val="N7b"/>
      <sheetName val="N 8-11"/>
      <sheetName val="N12-16"/>
      <sheetName val="N 17-20"/>
      <sheetName val="CLOSING TRIAL BALANCE 2022"/>
      <sheetName val="P&amp;L SCH"/>
      <sheetName val="CA"/>
      <sheetName val="D TAX COMP"/>
      <sheetName val="TAX COMP"/>
      <sheetName val="N 1 -2"/>
      <sheetName val="TB"/>
      <sheetName val="N 8-13"/>
      <sheetName val="SCH 1"/>
      <sheetName val="Sheet1"/>
      <sheetName val="D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
          <cell r="H5"/>
        </row>
        <row r="6">
          <cell r="H6"/>
        </row>
        <row r="7">
          <cell r="G7" t="str">
            <v>GH¢</v>
          </cell>
          <cell r="I7" t="str">
            <v>GH¢</v>
          </cell>
        </row>
      </sheetData>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4">
          <cell r="B24">
            <v>5100</v>
          </cell>
        </row>
        <row r="28">
          <cell r="B28">
            <v>13000</v>
          </cell>
        </row>
        <row r="30">
          <cell r="B30">
            <v>12129.82</v>
          </cell>
        </row>
        <row r="33">
          <cell r="B33">
            <v>81033.47</v>
          </cell>
        </row>
        <row r="34">
          <cell r="E34">
            <v>526863.01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3D09F-94F1-4A40-8DA5-85EC272B7C71}">
  <dimension ref="A1:H45"/>
  <sheetViews>
    <sheetView topLeftCell="A3" zoomScaleNormal="100" workbookViewId="0">
      <selection activeCell="A18" sqref="A18"/>
    </sheetView>
  </sheetViews>
  <sheetFormatPr defaultColWidth="8.81640625" defaultRowHeight="14.5" customHeight="1" zeroHeight="1"/>
  <cols>
    <col min="1" max="1" width="7.453125" style="1" customWidth="1"/>
    <col min="2" max="2" width="15" style="1" customWidth="1"/>
    <col min="3" max="3" width="2.7265625" style="1" customWidth="1"/>
    <col min="4" max="4" width="8.81640625" style="1"/>
    <col min="5" max="5" width="10.453125" style="1" customWidth="1"/>
    <col min="6" max="6" width="8.81640625" style="1"/>
    <col min="7" max="7" width="12.26953125" style="1" customWidth="1"/>
    <col min="8" max="8" width="8.453125" style="1" customWidth="1"/>
    <col min="9" max="9" width="2.81640625" style="1" customWidth="1"/>
    <col min="10" max="16384" width="8.81640625" style="1"/>
  </cols>
  <sheetData>
    <row r="1" spans="1:8"/>
    <row r="2" spans="1:8"/>
    <row r="3" spans="1:8">
      <c r="A3" s="2"/>
      <c r="B3" s="3"/>
      <c r="C3" s="3"/>
      <c r="D3" s="3"/>
      <c r="E3" s="3"/>
      <c r="F3" s="3"/>
      <c r="G3" s="3"/>
      <c r="H3" s="4"/>
    </row>
    <row r="4" spans="1:8">
      <c r="A4" s="5"/>
      <c r="H4" s="6"/>
    </row>
    <row r="5" spans="1:8">
      <c r="A5" s="5"/>
      <c r="H5" s="6"/>
    </row>
    <row r="6" spans="1:8">
      <c r="A6" s="5"/>
      <c r="H6" s="6"/>
    </row>
    <row r="7" spans="1:8">
      <c r="A7" s="5"/>
      <c r="H7" s="6"/>
    </row>
    <row r="8" spans="1:8">
      <c r="A8" s="5"/>
      <c r="H8" s="6"/>
    </row>
    <row r="9" spans="1:8">
      <c r="A9" s="5"/>
      <c r="H9" s="6"/>
    </row>
    <row r="10" spans="1:8">
      <c r="A10" s="5"/>
      <c r="H10" s="6"/>
    </row>
    <row r="11" spans="1:8">
      <c r="A11" s="5"/>
      <c r="H11" s="6"/>
    </row>
    <row r="12" spans="1:8">
      <c r="A12" s="5"/>
      <c r="H12" s="6"/>
    </row>
    <row r="13" spans="1:8" ht="23">
      <c r="A13" s="532" t="s">
        <v>471</v>
      </c>
      <c r="B13" s="533"/>
      <c r="C13" s="533"/>
      <c r="D13" s="533"/>
      <c r="E13" s="533"/>
      <c r="F13" s="533"/>
      <c r="G13" s="533"/>
      <c r="H13" s="534"/>
    </row>
    <row r="14" spans="1:8" ht="20">
      <c r="A14" s="7"/>
      <c r="B14" s="8"/>
      <c r="C14" s="8"/>
      <c r="D14" s="8"/>
      <c r="E14" s="8"/>
      <c r="F14" s="8"/>
      <c r="G14" s="8"/>
      <c r="H14" s="9"/>
    </row>
    <row r="15" spans="1:8" ht="20">
      <c r="A15" s="535" t="s">
        <v>0</v>
      </c>
      <c r="B15" s="536"/>
      <c r="C15" s="536"/>
      <c r="D15" s="536"/>
      <c r="E15" s="536"/>
      <c r="F15" s="536"/>
      <c r="G15" s="536"/>
      <c r="H15" s="537"/>
    </row>
    <row r="16" spans="1:8" ht="21.75" customHeight="1">
      <c r="A16" s="5"/>
      <c r="H16" s="6"/>
    </row>
    <row r="17" spans="1:8" ht="24" customHeight="1">
      <c r="A17" s="538" t="s">
        <v>472</v>
      </c>
      <c r="B17" s="539"/>
      <c r="C17" s="536"/>
      <c r="D17" s="536"/>
      <c r="E17" s="536"/>
      <c r="F17" s="536"/>
      <c r="G17" s="536"/>
      <c r="H17" s="537"/>
    </row>
    <row r="18" spans="1:8">
      <c r="A18" s="5"/>
      <c r="H18" s="6"/>
    </row>
    <row r="19" spans="1:8" ht="21.5">
      <c r="A19" s="10"/>
      <c r="B19" s="11"/>
      <c r="C19" s="11"/>
      <c r="D19" s="12"/>
      <c r="E19" s="12"/>
      <c r="F19" s="12"/>
      <c r="G19" s="12"/>
      <c r="H19" s="13"/>
    </row>
    <row r="20" spans="1:8" ht="21.5">
      <c r="A20" s="10"/>
      <c r="B20" s="11"/>
      <c r="C20" s="11"/>
      <c r="D20" s="12"/>
      <c r="E20" s="12"/>
      <c r="F20" s="12"/>
      <c r="G20" s="12"/>
      <c r="H20" s="13"/>
    </row>
    <row r="21" spans="1:8" ht="19.149999999999999" customHeight="1">
      <c r="A21" s="14"/>
      <c r="G21" s="15"/>
      <c r="H21" s="6"/>
    </row>
    <row r="22" spans="1:8" ht="19.149999999999999" customHeight="1">
      <c r="A22" s="5"/>
      <c r="G22" s="15"/>
      <c r="H22" s="6"/>
    </row>
    <row r="23" spans="1:8" ht="19.149999999999999" customHeight="1">
      <c r="A23" s="5"/>
      <c r="G23" s="15"/>
      <c r="H23" s="6"/>
    </row>
    <row r="24" spans="1:8" ht="19.149999999999999" customHeight="1">
      <c r="A24" s="5"/>
      <c r="G24" s="16"/>
      <c r="H24" s="6"/>
    </row>
    <row r="25" spans="1:8" ht="15.5">
      <c r="A25" s="5"/>
      <c r="D25" s="17" t="s">
        <v>1</v>
      </c>
      <c r="G25" s="16"/>
      <c r="H25" s="6"/>
    </row>
    <row r="26" spans="1:8" ht="15.5">
      <c r="A26" s="5"/>
      <c r="D26" s="17" t="s">
        <v>2</v>
      </c>
      <c r="G26" s="16"/>
      <c r="H26" s="6"/>
    </row>
    <row r="27" spans="1:8" ht="15.5">
      <c r="A27" s="5"/>
      <c r="D27" s="17" t="s">
        <v>3</v>
      </c>
      <c r="G27" s="18"/>
      <c r="H27" s="19"/>
    </row>
    <row r="28" spans="1:8" ht="15.5">
      <c r="A28" s="20"/>
      <c r="B28" s="16"/>
      <c r="C28" s="16"/>
      <c r="D28" s="17" t="s">
        <v>4</v>
      </c>
      <c r="G28" s="18"/>
      <c r="H28" s="19"/>
    </row>
    <row r="29" spans="1:8" ht="15.5">
      <c r="A29" s="5"/>
      <c r="D29" s="17" t="s">
        <v>5</v>
      </c>
      <c r="G29" s="21"/>
      <c r="H29" s="6"/>
    </row>
    <row r="30" spans="1:8">
      <c r="A30" s="5"/>
      <c r="H30" s="6"/>
    </row>
    <row r="31" spans="1:8" ht="20.5" customHeight="1">
      <c r="A31" s="5"/>
      <c r="H31" s="6"/>
    </row>
    <row r="32" spans="1:8" ht="20.5" customHeight="1">
      <c r="A32" s="5"/>
      <c r="H32" s="6"/>
    </row>
    <row r="33" spans="1:8" ht="20.5" customHeight="1">
      <c r="A33" s="5"/>
      <c r="H33" s="6"/>
    </row>
    <row r="34" spans="1:8" ht="20.5" customHeight="1">
      <c r="A34" s="5"/>
      <c r="H34" s="6"/>
    </row>
    <row r="35" spans="1:8" ht="20.5" customHeight="1">
      <c r="A35" s="5"/>
      <c r="H35" s="6"/>
    </row>
    <row r="36" spans="1:8" ht="20.5" customHeight="1">
      <c r="A36" s="5"/>
      <c r="H36" s="6"/>
    </row>
    <row r="37" spans="1:8">
      <c r="A37" s="22"/>
      <c r="B37" s="23"/>
      <c r="C37" s="23"/>
      <c r="D37" s="23"/>
      <c r="E37" s="23"/>
      <c r="F37" s="23"/>
      <c r="G37" s="23"/>
      <c r="H37" s="24"/>
    </row>
    <row r="38" spans="1:8"/>
    <row r="39" spans="1:8"/>
    <row r="41" spans="1:8"/>
    <row r="42" spans="1:8" ht="14.5" customHeight="1"/>
    <row r="43" spans="1:8" ht="14.5" customHeight="1"/>
    <row r="44" spans="1:8" ht="14.5" customHeight="1"/>
    <row r="45" spans="1:8" ht="14.5" customHeight="1"/>
  </sheetData>
  <mergeCells count="3">
    <mergeCell ref="A13:H13"/>
    <mergeCell ref="A15:H15"/>
    <mergeCell ref="A17:H17"/>
  </mergeCells>
  <printOptions horizontalCentere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F4E00-F11E-4EAB-81A5-16E15028F743}">
  <dimension ref="A1:J59"/>
  <sheetViews>
    <sheetView view="pageLayout" zoomScaleNormal="100" workbookViewId="0">
      <selection activeCell="B46" sqref="B46:J50"/>
    </sheetView>
  </sheetViews>
  <sheetFormatPr defaultColWidth="9.1796875" defaultRowHeight="14"/>
  <cols>
    <col min="1" max="1" width="3.7265625" style="32" customWidth="1"/>
    <col min="2" max="2" width="6.7265625" style="32" customWidth="1"/>
    <col min="3" max="3" width="14.7265625" style="32" customWidth="1"/>
    <col min="4" max="4" width="2" style="32" customWidth="1"/>
    <col min="5" max="5" width="13.453125" style="32" customWidth="1"/>
    <col min="6" max="6" width="13.7265625" style="32" customWidth="1"/>
    <col min="7" max="8" width="8.26953125" style="32" customWidth="1"/>
    <col min="9" max="9" width="5" style="32" customWidth="1"/>
    <col min="10" max="10" width="10.26953125" style="32" customWidth="1"/>
    <col min="11" max="253" width="9.1796875" style="32"/>
    <col min="254" max="254" width="3.7265625" style="32" customWidth="1"/>
    <col min="255" max="255" width="6.7265625" style="32" customWidth="1"/>
    <col min="256" max="256" width="14.7265625" style="32" customWidth="1"/>
    <col min="257" max="257" width="2" style="32" customWidth="1"/>
    <col min="258" max="258" width="13.453125" style="32" customWidth="1"/>
    <col min="259" max="259" width="2.453125" style="32" customWidth="1"/>
    <col min="260" max="260" width="14.453125" style="32" customWidth="1"/>
    <col min="261" max="261" width="2.1796875" style="32" customWidth="1"/>
    <col min="262" max="262" width="14" style="32" customWidth="1"/>
    <col min="263" max="263" width="1.81640625" style="32" customWidth="1"/>
    <col min="264" max="264" width="12.54296875" style="32" customWidth="1"/>
    <col min="265" max="265" width="2.7265625" style="32" customWidth="1"/>
    <col min="266" max="266" width="11.54296875" style="32" customWidth="1"/>
    <col min="267" max="509" width="9.1796875" style="32"/>
    <col min="510" max="510" width="3.7265625" style="32" customWidth="1"/>
    <col min="511" max="511" width="6.7265625" style="32" customWidth="1"/>
    <col min="512" max="512" width="14.7265625" style="32" customWidth="1"/>
    <col min="513" max="513" width="2" style="32" customWidth="1"/>
    <col min="514" max="514" width="13.453125" style="32" customWidth="1"/>
    <col min="515" max="515" width="2.453125" style="32" customWidth="1"/>
    <col min="516" max="516" width="14.453125" style="32" customWidth="1"/>
    <col min="517" max="517" width="2.1796875" style="32" customWidth="1"/>
    <col min="518" max="518" width="14" style="32" customWidth="1"/>
    <col min="519" max="519" width="1.81640625" style="32" customWidth="1"/>
    <col min="520" max="520" width="12.54296875" style="32" customWidth="1"/>
    <col min="521" max="521" width="2.7265625" style="32" customWidth="1"/>
    <col min="522" max="522" width="11.54296875" style="32" customWidth="1"/>
    <col min="523" max="765" width="9.1796875" style="32"/>
    <col min="766" max="766" width="3.7265625" style="32" customWidth="1"/>
    <col min="767" max="767" width="6.7265625" style="32" customWidth="1"/>
    <col min="768" max="768" width="14.7265625" style="32" customWidth="1"/>
    <col min="769" max="769" width="2" style="32" customWidth="1"/>
    <col min="770" max="770" width="13.453125" style="32" customWidth="1"/>
    <col min="771" max="771" width="2.453125" style="32" customWidth="1"/>
    <col min="772" max="772" width="14.453125" style="32" customWidth="1"/>
    <col min="773" max="773" width="2.1796875" style="32" customWidth="1"/>
    <col min="774" max="774" width="14" style="32" customWidth="1"/>
    <col min="775" max="775" width="1.81640625" style="32" customWidth="1"/>
    <col min="776" max="776" width="12.54296875" style="32" customWidth="1"/>
    <col min="777" max="777" width="2.7265625" style="32" customWidth="1"/>
    <col min="778" max="778" width="11.54296875" style="32" customWidth="1"/>
    <col min="779" max="1021" width="9.1796875" style="32"/>
    <col min="1022" max="1022" width="3.7265625" style="32" customWidth="1"/>
    <col min="1023" max="1023" width="6.7265625" style="32" customWidth="1"/>
    <col min="1024" max="1024" width="14.7265625" style="32" customWidth="1"/>
    <col min="1025" max="1025" width="2" style="32" customWidth="1"/>
    <col min="1026" max="1026" width="13.453125" style="32" customWidth="1"/>
    <col min="1027" max="1027" width="2.453125" style="32" customWidth="1"/>
    <col min="1028" max="1028" width="14.453125" style="32" customWidth="1"/>
    <col min="1029" max="1029" width="2.1796875" style="32" customWidth="1"/>
    <col min="1030" max="1030" width="14" style="32" customWidth="1"/>
    <col min="1031" max="1031" width="1.81640625" style="32" customWidth="1"/>
    <col min="1032" max="1032" width="12.54296875" style="32" customWidth="1"/>
    <col min="1033" max="1033" width="2.7265625" style="32" customWidth="1"/>
    <col min="1034" max="1034" width="11.54296875" style="32" customWidth="1"/>
    <col min="1035" max="1277" width="9.1796875" style="32"/>
    <col min="1278" max="1278" width="3.7265625" style="32" customWidth="1"/>
    <col min="1279" max="1279" width="6.7265625" style="32" customWidth="1"/>
    <col min="1280" max="1280" width="14.7265625" style="32" customWidth="1"/>
    <col min="1281" max="1281" width="2" style="32" customWidth="1"/>
    <col min="1282" max="1282" width="13.453125" style="32" customWidth="1"/>
    <col min="1283" max="1283" width="2.453125" style="32" customWidth="1"/>
    <col min="1284" max="1284" width="14.453125" style="32" customWidth="1"/>
    <col min="1285" max="1285" width="2.1796875" style="32" customWidth="1"/>
    <col min="1286" max="1286" width="14" style="32" customWidth="1"/>
    <col min="1287" max="1287" width="1.81640625" style="32" customWidth="1"/>
    <col min="1288" max="1288" width="12.54296875" style="32" customWidth="1"/>
    <col min="1289" max="1289" width="2.7265625" style="32" customWidth="1"/>
    <col min="1290" max="1290" width="11.54296875" style="32" customWidth="1"/>
    <col min="1291" max="1533" width="9.1796875" style="32"/>
    <col min="1534" max="1534" width="3.7265625" style="32" customWidth="1"/>
    <col min="1535" max="1535" width="6.7265625" style="32" customWidth="1"/>
    <col min="1536" max="1536" width="14.7265625" style="32" customWidth="1"/>
    <col min="1537" max="1537" width="2" style="32" customWidth="1"/>
    <col min="1538" max="1538" width="13.453125" style="32" customWidth="1"/>
    <col min="1539" max="1539" width="2.453125" style="32" customWidth="1"/>
    <col min="1540" max="1540" width="14.453125" style="32" customWidth="1"/>
    <col min="1541" max="1541" width="2.1796875" style="32" customWidth="1"/>
    <col min="1542" max="1542" width="14" style="32" customWidth="1"/>
    <col min="1543" max="1543" width="1.81640625" style="32" customWidth="1"/>
    <col min="1544" max="1544" width="12.54296875" style="32" customWidth="1"/>
    <col min="1545" max="1545" width="2.7265625" style="32" customWidth="1"/>
    <col min="1546" max="1546" width="11.54296875" style="32" customWidth="1"/>
    <col min="1547" max="1789" width="9.1796875" style="32"/>
    <col min="1790" max="1790" width="3.7265625" style="32" customWidth="1"/>
    <col min="1791" max="1791" width="6.7265625" style="32" customWidth="1"/>
    <col min="1792" max="1792" width="14.7265625" style="32" customWidth="1"/>
    <col min="1793" max="1793" width="2" style="32" customWidth="1"/>
    <col min="1794" max="1794" width="13.453125" style="32" customWidth="1"/>
    <col min="1795" max="1795" width="2.453125" style="32" customWidth="1"/>
    <col min="1796" max="1796" width="14.453125" style="32" customWidth="1"/>
    <col min="1797" max="1797" width="2.1796875" style="32" customWidth="1"/>
    <col min="1798" max="1798" width="14" style="32" customWidth="1"/>
    <col min="1799" max="1799" width="1.81640625" style="32" customWidth="1"/>
    <col min="1800" max="1800" width="12.54296875" style="32" customWidth="1"/>
    <col min="1801" max="1801" width="2.7265625" style="32" customWidth="1"/>
    <col min="1802" max="1802" width="11.54296875" style="32" customWidth="1"/>
    <col min="1803" max="2045" width="9.1796875" style="32"/>
    <col min="2046" max="2046" width="3.7265625" style="32" customWidth="1"/>
    <col min="2047" max="2047" width="6.7265625" style="32" customWidth="1"/>
    <col min="2048" max="2048" width="14.7265625" style="32" customWidth="1"/>
    <col min="2049" max="2049" width="2" style="32" customWidth="1"/>
    <col min="2050" max="2050" width="13.453125" style="32" customWidth="1"/>
    <col min="2051" max="2051" width="2.453125" style="32" customWidth="1"/>
    <col min="2052" max="2052" width="14.453125" style="32" customWidth="1"/>
    <col min="2053" max="2053" width="2.1796875" style="32" customWidth="1"/>
    <col min="2054" max="2054" width="14" style="32" customWidth="1"/>
    <col min="2055" max="2055" width="1.81640625" style="32" customWidth="1"/>
    <col min="2056" max="2056" width="12.54296875" style="32" customWidth="1"/>
    <col min="2057" max="2057" width="2.7265625" style="32" customWidth="1"/>
    <col min="2058" max="2058" width="11.54296875" style="32" customWidth="1"/>
    <col min="2059" max="2301" width="9.1796875" style="32"/>
    <col min="2302" max="2302" width="3.7265625" style="32" customWidth="1"/>
    <col min="2303" max="2303" width="6.7265625" style="32" customWidth="1"/>
    <col min="2304" max="2304" width="14.7265625" style="32" customWidth="1"/>
    <col min="2305" max="2305" width="2" style="32" customWidth="1"/>
    <col min="2306" max="2306" width="13.453125" style="32" customWidth="1"/>
    <col min="2307" max="2307" width="2.453125" style="32" customWidth="1"/>
    <col min="2308" max="2308" width="14.453125" style="32" customWidth="1"/>
    <col min="2309" max="2309" width="2.1796875" style="32" customWidth="1"/>
    <col min="2310" max="2310" width="14" style="32" customWidth="1"/>
    <col min="2311" max="2311" width="1.81640625" style="32" customWidth="1"/>
    <col min="2312" max="2312" width="12.54296875" style="32" customWidth="1"/>
    <col min="2313" max="2313" width="2.7265625" style="32" customWidth="1"/>
    <col min="2314" max="2314" width="11.54296875" style="32" customWidth="1"/>
    <col min="2315" max="2557" width="9.1796875" style="32"/>
    <col min="2558" max="2558" width="3.7265625" style="32" customWidth="1"/>
    <col min="2559" max="2559" width="6.7265625" style="32" customWidth="1"/>
    <col min="2560" max="2560" width="14.7265625" style="32" customWidth="1"/>
    <col min="2561" max="2561" width="2" style="32" customWidth="1"/>
    <col min="2562" max="2562" width="13.453125" style="32" customWidth="1"/>
    <col min="2563" max="2563" width="2.453125" style="32" customWidth="1"/>
    <col min="2564" max="2564" width="14.453125" style="32" customWidth="1"/>
    <col min="2565" max="2565" width="2.1796875" style="32" customWidth="1"/>
    <col min="2566" max="2566" width="14" style="32" customWidth="1"/>
    <col min="2567" max="2567" width="1.81640625" style="32" customWidth="1"/>
    <col min="2568" max="2568" width="12.54296875" style="32" customWidth="1"/>
    <col min="2569" max="2569" width="2.7265625" style="32" customWidth="1"/>
    <col min="2570" max="2570" width="11.54296875" style="32" customWidth="1"/>
    <col min="2571" max="2813" width="9.1796875" style="32"/>
    <col min="2814" max="2814" width="3.7265625" style="32" customWidth="1"/>
    <col min="2815" max="2815" width="6.7265625" style="32" customWidth="1"/>
    <col min="2816" max="2816" width="14.7265625" style="32" customWidth="1"/>
    <col min="2817" max="2817" width="2" style="32" customWidth="1"/>
    <col min="2818" max="2818" width="13.453125" style="32" customWidth="1"/>
    <col min="2819" max="2819" width="2.453125" style="32" customWidth="1"/>
    <col min="2820" max="2820" width="14.453125" style="32" customWidth="1"/>
    <col min="2821" max="2821" width="2.1796875" style="32" customWidth="1"/>
    <col min="2822" max="2822" width="14" style="32" customWidth="1"/>
    <col min="2823" max="2823" width="1.81640625" style="32" customWidth="1"/>
    <col min="2824" max="2824" width="12.54296875" style="32" customWidth="1"/>
    <col min="2825" max="2825" width="2.7265625" style="32" customWidth="1"/>
    <col min="2826" max="2826" width="11.54296875" style="32" customWidth="1"/>
    <col min="2827" max="3069" width="9.1796875" style="32"/>
    <col min="3070" max="3070" width="3.7265625" style="32" customWidth="1"/>
    <col min="3071" max="3071" width="6.7265625" style="32" customWidth="1"/>
    <col min="3072" max="3072" width="14.7265625" style="32" customWidth="1"/>
    <col min="3073" max="3073" width="2" style="32" customWidth="1"/>
    <col min="3074" max="3074" width="13.453125" style="32" customWidth="1"/>
    <col min="3075" max="3075" width="2.453125" style="32" customWidth="1"/>
    <col min="3076" max="3076" width="14.453125" style="32" customWidth="1"/>
    <col min="3077" max="3077" width="2.1796875" style="32" customWidth="1"/>
    <col min="3078" max="3078" width="14" style="32" customWidth="1"/>
    <col min="3079" max="3079" width="1.81640625" style="32" customWidth="1"/>
    <col min="3080" max="3080" width="12.54296875" style="32" customWidth="1"/>
    <col min="3081" max="3081" width="2.7265625" style="32" customWidth="1"/>
    <col min="3082" max="3082" width="11.54296875" style="32" customWidth="1"/>
    <col min="3083" max="3325" width="9.1796875" style="32"/>
    <col min="3326" max="3326" width="3.7265625" style="32" customWidth="1"/>
    <col min="3327" max="3327" width="6.7265625" style="32" customWidth="1"/>
    <col min="3328" max="3328" width="14.7265625" style="32" customWidth="1"/>
    <col min="3329" max="3329" width="2" style="32" customWidth="1"/>
    <col min="3330" max="3330" width="13.453125" style="32" customWidth="1"/>
    <col min="3331" max="3331" width="2.453125" style="32" customWidth="1"/>
    <col min="3332" max="3332" width="14.453125" style="32" customWidth="1"/>
    <col min="3333" max="3333" width="2.1796875" style="32" customWidth="1"/>
    <col min="3334" max="3334" width="14" style="32" customWidth="1"/>
    <col min="3335" max="3335" width="1.81640625" style="32" customWidth="1"/>
    <col min="3336" max="3336" width="12.54296875" style="32" customWidth="1"/>
    <col min="3337" max="3337" width="2.7265625" style="32" customWidth="1"/>
    <col min="3338" max="3338" width="11.54296875" style="32" customWidth="1"/>
    <col min="3339" max="3581" width="9.1796875" style="32"/>
    <col min="3582" max="3582" width="3.7265625" style="32" customWidth="1"/>
    <col min="3583" max="3583" width="6.7265625" style="32" customWidth="1"/>
    <col min="3584" max="3584" width="14.7265625" style="32" customWidth="1"/>
    <col min="3585" max="3585" width="2" style="32" customWidth="1"/>
    <col min="3586" max="3586" width="13.453125" style="32" customWidth="1"/>
    <col min="3587" max="3587" width="2.453125" style="32" customWidth="1"/>
    <col min="3588" max="3588" width="14.453125" style="32" customWidth="1"/>
    <col min="3589" max="3589" width="2.1796875" style="32" customWidth="1"/>
    <col min="3590" max="3590" width="14" style="32" customWidth="1"/>
    <col min="3591" max="3591" width="1.81640625" style="32" customWidth="1"/>
    <col min="3592" max="3592" width="12.54296875" style="32" customWidth="1"/>
    <col min="3593" max="3593" width="2.7265625" style="32" customWidth="1"/>
    <col min="3594" max="3594" width="11.54296875" style="32" customWidth="1"/>
    <col min="3595" max="3837" width="9.1796875" style="32"/>
    <col min="3838" max="3838" width="3.7265625" style="32" customWidth="1"/>
    <col min="3839" max="3839" width="6.7265625" style="32" customWidth="1"/>
    <col min="3840" max="3840" width="14.7265625" style="32" customWidth="1"/>
    <col min="3841" max="3841" width="2" style="32" customWidth="1"/>
    <col min="3842" max="3842" width="13.453125" style="32" customWidth="1"/>
    <col min="3843" max="3843" width="2.453125" style="32" customWidth="1"/>
    <col min="3844" max="3844" width="14.453125" style="32" customWidth="1"/>
    <col min="3845" max="3845" width="2.1796875" style="32" customWidth="1"/>
    <col min="3846" max="3846" width="14" style="32" customWidth="1"/>
    <col min="3847" max="3847" width="1.81640625" style="32" customWidth="1"/>
    <col min="3848" max="3848" width="12.54296875" style="32" customWidth="1"/>
    <col min="3849" max="3849" width="2.7265625" style="32" customWidth="1"/>
    <col min="3850" max="3850" width="11.54296875" style="32" customWidth="1"/>
    <col min="3851" max="4093" width="9.1796875" style="32"/>
    <col min="4094" max="4094" width="3.7265625" style="32" customWidth="1"/>
    <col min="4095" max="4095" width="6.7265625" style="32" customWidth="1"/>
    <col min="4096" max="4096" width="14.7265625" style="32" customWidth="1"/>
    <col min="4097" max="4097" width="2" style="32" customWidth="1"/>
    <col min="4098" max="4098" width="13.453125" style="32" customWidth="1"/>
    <col min="4099" max="4099" width="2.453125" style="32" customWidth="1"/>
    <col min="4100" max="4100" width="14.453125" style="32" customWidth="1"/>
    <col min="4101" max="4101" width="2.1796875" style="32" customWidth="1"/>
    <col min="4102" max="4102" width="14" style="32" customWidth="1"/>
    <col min="4103" max="4103" width="1.81640625" style="32" customWidth="1"/>
    <col min="4104" max="4104" width="12.54296875" style="32" customWidth="1"/>
    <col min="4105" max="4105" width="2.7265625" style="32" customWidth="1"/>
    <col min="4106" max="4106" width="11.54296875" style="32" customWidth="1"/>
    <col min="4107" max="4349" width="9.1796875" style="32"/>
    <col min="4350" max="4350" width="3.7265625" style="32" customWidth="1"/>
    <col min="4351" max="4351" width="6.7265625" style="32" customWidth="1"/>
    <col min="4352" max="4352" width="14.7265625" style="32" customWidth="1"/>
    <col min="4353" max="4353" width="2" style="32" customWidth="1"/>
    <col min="4354" max="4354" width="13.453125" style="32" customWidth="1"/>
    <col min="4355" max="4355" width="2.453125" style="32" customWidth="1"/>
    <col min="4356" max="4356" width="14.453125" style="32" customWidth="1"/>
    <col min="4357" max="4357" width="2.1796875" style="32" customWidth="1"/>
    <col min="4358" max="4358" width="14" style="32" customWidth="1"/>
    <col min="4359" max="4359" width="1.81640625" style="32" customWidth="1"/>
    <col min="4360" max="4360" width="12.54296875" style="32" customWidth="1"/>
    <col min="4361" max="4361" width="2.7265625" style="32" customWidth="1"/>
    <col min="4362" max="4362" width="11.54296875" style="32" customWidth="1"/>
    <col min="4363" max="4605" width="9.1796875" style="32"/>
    <col min="4606" max="4606" width="3.7265625" style="32" customWidth="1"/>
    <col min="4607" max="4607" width="6.7265625" style="32" customWidth="1"/>
    <col min="4608" max="4608" width="14.7265625" style="32" customWidth="1"/>
    <col min="4609" max="4609" width="2" style="32" customWidth="1"/>
    <col min="4610" max="4610" width="13.453125" style="32" customWidth="1"/>
    <col min="4611" max="4611" width="2.453125" style="32" customWidth="1"/>
    <col min="4612" max="4612" width="14.453125" style="32" customWidth="1"/>
    <col min="4613" max="4613" width="2.1796875" style="32" customWidth="1"/>
    <col min="4614" max="4614" width="14" style="32" customWidth="1"/>
    <col min="4615" max="4615" width="1.81640625" style="32" customWidth="1"/>
    <col min="4616" max="4616" width="12.54296875" style="32" customWidth="1"/>
    <col min="4617" max="4617" width="2.7265625" style="32" customWidth="1"/>
    <col min="4618" max="4618" width="11.54296875" style="32" customWidth="1"/>
    <col min="4619" max="4861" width="9.1796875" style="32"/>
    <col min="4862" max="4862" width="3.7265625" style="32" customWidth="1"/>
    <col min="4863" max="4863" width="6.7265625" style="32" customWidth="1"/>
    <col min="4864" max="4864" width="14.7265625" style="32" customWidth="1"/>
    <col min="4865" max="4865" width="2" style="32" customWidth="1"/>
    <col min="4866" max="4866" width="13.453125" style="32" customWidth="1"/>
    <col min="4867" max="4867" width="2.453125" style="32" customWidth="1"/>
    <col min="4868" max="4868" width="14.453125" style="32" customWidth="1"/>
    <col min="4869" max="4869" width="2.1796875" style="32" customWidth="1"/>
    <col min="4870" max="4870" width="14" style="32" customWidth="1"/>
    <col min="4871" max="4871" width="1.81640625" style="32" customWidth="1"/>
    <col min="4872" max="4872" width="12.54296875" style="32" customWidth="1"/>
    <col min="4873" max="4873" width="2.7265625" style="32" customWidth="1"/>
    <col min="4874" max="4874" width="11.54296875" style="32" customWidth="1"/>
    <col min="4875" max="5117" width="9.1796875" style="32"/>
    <col min="5118" max="5118" width="3.7265625" style="32" customWidth="1"/>
    <col min="5119" max="5119" width="6.7265625" style="32" customWidth="1"/>
    <col min="5120" max="5120" width="14.7265625" style="32" customWidth="1"/>
    <col min="5121" max="5121" width="2" style="32" customWidth="1"/>
    <col min="5122" max="5122" width="13.453125" style="32" customWidth="1"/>
    <col min="5123" max="5123" width="2.453125" style="32" customWidth="1"/>
    <col min="5124" max="5124" width="14.453125" style="32" customWidth="1"/>
    <col min="5125" max="5125" width="2.1796875" style="32" customWidth="1"/>
    <col min="5126" max="5126" width="14" style="32" customWidth="1"/>
    <col min="5127" max="5127" width="1.81640625" style="32" customWidth="1"/>
    <col min="5128" max="5128" width="12.54296875" style="32" customWidth="1"/>
    <col min="5129" max="5129" width="2.7265625" style="32" customWidth="1"/>
    <col min="5130" max="5130" width="11.54296875" style="32" customWidth="1"/>
    <col min="5131" max="5373" width="9.1796875" style="32"/>
    <col min="5374" max="5374" width="3.7265625" style="32" customWidth="1"/>
    <col min="5375" max="5375" width="6.7265625" style="32" customWidth="1"/>
    <col min="5376" max="5376" width="14.7265625" style="32" customWidth="1"/>
    <col min="5377" max="5377" width="2" style="32" customWidth="1"/>
    <col min="5378" max="5378" width="13.453125" style="32" customWidth="1"/>
    <col min="5379" max="5379" width="2.453125" style="32" customWidth="1"/>
    <col min="5380" max="5380" width="14.453125" style="32" customWidth="1"/>
    <col min="5381" max="5381" width="2.1796875" style="32" customWidth="1"/>
    <col min="5382" max="5382" width="14" style="32" customWidth="1"/>
    <col min="5383" max="5383" width="1.81640625" style="32" customWidth="1"/>
    <col min="5384" max="5384" width="12.54296875" style="32" customWidth="1"/>
    <col min="5385" max="5385" width="2.7265625" style="32" customWidth="1"/>
    <col min="5386" max="5386" width="11.54296875" style="32" customWidth="1"/>
    <col min="5387" max="5629" width="9.1796875" style="32"/>
    <col min="5630" max="5630" width="3.7265625" style="32" customWidth="1"/>
    <col min="5631" max="5631" width="6.7265625" style="32" customWidth="1"/>
    <col min="5632" max="5632" width="14.7265625" style="32" customWidth="1"/>
    <col min="5633" max="5633" width="2" style="32" customWidth="1"/>
    <col min="5634" max="5634" width="13.453125" style="32" customWidth="1"/>
    <col min="5635" max="5635" width="2.453125" style="32" customWidth="1"/>
    <col min="5636" max="5636" width="14.453125" style="32" customWidth="1"/>
    <col min="5637" max="5637" width="2.1796875" style="32" customWidth="1"/>
    <col min="5638" max="5638" width="14" style="32" customWidth="1"/>
    <col min="5639" max="5639" width="1.81640625" style="32" customWidth="1"/>
    <col min="5640" max="5640" width="12.54296875" style="32" customWidth="1"/>
    <col min="5641" max="5641" width="2.7265625" style="32" customWidth="1"/>
    <col min="5642" max="5642" width="11.54296875" style="32" customWidth="1"/>
    <col min="5643" max="5885" width="9.1796875" style="32"/>
    <col min="5886" max="5886" width="3.7265625" style="32" customWidth="1"/>
    <col min="5887" max="5887" width="6.7265625" style="32" customWidth="1"/>
    <col min="5888" max="5888" width="14.7265625" style="32" customWidth="1"/>
    <col min="5889" max="5889" width="2" style="32" customWidth="1"/>
    <col min="5890" max="5890" width="13.453125" style="32" customWidth="1"/>
    <col min="5891" max="5891" width="2.453125" style="32" customWidth="1"/>
    <col min="5892" max="5892" width="14.453125" style="32" customWidth="1"/>
    <col min="5893" max="5893" width="2.1796875" style="32" customWidth="1"/>
    <col min="5894" max="5894" width="14" style="32" customWidth="1"/>
    <col min="5895" max="5895" width="1.81640625" style="32" customWidth="1"/>
    <col min="5896" max="5896" width="12.54296875" style="32" customWidth="1"/>
    <col min="5897" max="5897" width="2.7265625" style="32" customWidth="1"/>
    <col min="5898" max="5898" width="11.54296875" style="32" customWidth="1"/>
    <col min="5899" max="6141" width="9.1796875" style="32"/>
    <col min="6142" max="6142" width="3.7265625" style="32" customWidth="1"/>
    <col min="6143" max="6143" width="6.7265625" style="32" customWidth="1"/>
    <col min="6144" max="6144" width="14.7265625" style="32" customWidth="1"/>
    <col min="6145" max="6145" width="2" style="32" customWidth="1"/>
    <col min="6146" max="6146" width="13.453125" style="32" customWidth="1"/>
    <col min="6147" max="6147" width="2.453125" style="32" customWidth="1"/>
    <col min="6148" max="6148" width="14.453125" style="32" customWidth="1"/>
    <col min="6149" max="6149" width="2.1796875" style="32" customWidth="1"/>
    <col min="6150" max="6150" width="14" style="32" customWidth="1"/>
    <col min="6151" max="6151" width="1.81640625" style="32" customWidth="1"/>
    <col min="6152" max="6152" width="12.54296875" style="32" customWidth="1"/>
    <col min="6153" max="6153" width="2.7265625" style="32" customWidth="1"/>
    <col min="6154" max="6154" width="11.54296875" style="32" customWidth="1"/>
    <col min="6155" max="6397" width="9.1796875" style="32"/>
    <col min="6398" max="6398" width="3.7265625" style="32" customWidth="1"/>
    <col min="6399" max="6399" width="6.7265625" style="32" customWidth="1"/>
    <col min="6400" max="6400" width="14.7265625" style="32" customWidth="1"/>
    <col min="6401" max="6401" width="2" style="32" customWidth="1"/>
    <col min="6402" max="6402" width="13.453125" style="32" customWidth="1"/>
    <col min="6403" max="6403" width="2.453125" style="32" customWidth="1"/>
    <col min="6404" max="6404" width="14.453125" style="32" customWidth="1"/>
    <col min="6405" max="6405" width="2.1796875" style="32" customWidth="1"/>
    <col min="6406" max="6406" width="14" style="32" customWidth="1"/>
    <col min="6407" max="6407" width="1.81640625" style="32" customWidth="1"/>
    <col min="6408" max="6408" width="12.54296875" style="32" customWidth="1"/>
    <col min="6409" max="6409" width="2.7265625" style="32" customWidth="1"/>
    <col min="6410" max="6410" width="11.54296875" style="32" customWidth="1"/>
    <col min="6411" max="6653" width="9.1796875" style="32"/>
    <col min="6654" max="6654" width="3.7265625" style="32" customWidth="1"/>
    <col min="6655" max="6655" width="6.7265625" style="32" customWidth="1"/>
    <col min="6656" max="6656" width="14.7265625" style="32" customWidth="1"/>
    <col min="6657" max="6657" width="2" style="32" customWidth="1"/>
    <col min="6658" max="6658" width="13.453125" style="32" customWidth="1"/>
    <col min="6659" max="6659" width="2.453125" style="32" customWidth="1"/>
    <col min="6660" max="6660" width="14.453125" style="32" customWidth="1"/>
    <col min="6661" max="6661" width="2.1796875" style="32" customWidth="1"/>
    <col min="6662" max="6662" width="14" style="32" customWidth="1"/>
    <col min="6663" max="6663" width="1.81640625" style="32" customWidth="1"/>
    <col min="6664" max="6664" width="12.54296875" style="32" customWidth="1"/>
    <col min="6665" max="6665" width="2.7265625" style="32" customWidth="1"/>
    <col min="6666" max="6666" width="11.54296875" style="32" customWidth="1"/>
    <col min="6667" max="6909" width="9.1796875" style="32"/>
    <col min="6910" max="6910" width="3.7265625" style="32" customWidth="1"/>
    <col min="6911" max="6911" width="6.7265625" style="32" customWidth="1"/>
    <col min="6912" max="6912" width="14.7265625" style="32" customWidth="1"/>
    <col min="6913" max="6913" width="2" style="32" customWidth="1"/>
    <col min="6914" max="6914" width="13.453125" style="32" customWidth="1"/>
    <col min="6915" max="6915" width="2.453125" style="32" customWidth="1"/>
    <col min="6916" max="6916" width="14.453125" style="32" customWidth="1"/>
    <col min="6917" max="6917" width="2.1796875" style="32" customWidth="1"/>
    <col min="6918" max="6918" width="14" style="32" customWidth="1"/>
    <col min="6919" max="6919" width="1.81640625" style="32" customWidth="1"/>
    <col min="6920" max="6920" width="12.54296875" style="32" customWidth="1"/>
    <col min="6921" max="6921" width="2.7265625" style="32" customWidth="1"/>
    <col min="6922" max="6922" width="11.54296875" style="32" customWidth="1"/>
    <col min="6923" max="7165" width="9.1796875" style="32"/>
    <col min="7166" max="7166" width="3.7265625" style="32" customWidth="1"/>
    <col min="7167" max="7167" width="6.7265625" style="32" customWidth="1"/>
    <col min="7168" max="7168" width="14.7265625" style="32" customWidth="1"/>
    <col min="7169" max="7169" width="2" style="32" customWidth="1"/>
    <col min="7170" max="7170" width="13.453125" style="32" customWidth="1"/>
    <col min="7171" max="7171" width="2.453125" style="32" customWidth="1"/>
    <col min="7172" max="7172" width="14.453125" style="32" customWidth="1"/>
    <col min="7173" max="7173" width="2.1796875" style="32" customWidth="1"/>
    <col min="7174" max="7174" width="14" style="32" customWidth="1"/>
    <col min="7175" max="7175" width="1.81640625" style="32" customWidth="1"/>
    <col min="7176" max="7176" width="12.54296875" style="32" customWidth="1"/>
    <col min="7177" max="7177" width="2.7265625" style="32" customWidth="1"/>
    <col min="7178" max="7178" width="11.54296875" style="32" customWidth="1"/>
    <col min="7179" max="7421" width="9.1796875" style="32"/>
    <col min="7422" max="7422" width="3.7265625" style="32" customWidth="1"/>
    <col min="7423" max="7423" width="6.7265625" style="32" customWidth="1"/>
    <col min="7424" max="7424" width="14.7265625" style="32" customWidth="1"/>
    <col min="7425" max="7425" width="2" style="32" customWidth="1"/>
    <col min="7426" max="7426" width="13.453125" style="32" customWidth="1"/>
    <col min="7427" max="7427" width="2.453125" style="32" customWidth="1"/>
    <col min="7428" max="7428" width="14.453125" style="32" customWidth="1"/>
    <col min="7429" max="7429" width="2.1796875" style="32" customWidth="1"/>
    <col min="7430" max="7430" width="14" style="32" customWidth="1"/>
    <col min="7431" max="7431" width="1.81640625" style="32" customWidth="1"/>
    <col min="7432" max="7432" width="12.54296875" style="32" customWidth="1"/>
    <col min="7433" max="7433" width="2.7265625" style="32" customWidth="1"/>
    <col min="7434" max="7434" width="11.54296875" style="32" customWidth="1"/>
    <col min="7435" max="7677" width="9.1796875" style="32"/>
    <col min="7678" max="7678" width="3.7265625" style="32" customWidth="1"/>
    <col min="7679" max="7679" width="6.7265625" style="32" customWidth="1"/>
    <col min="7680" max="7680" width="14.7265625" style="32" customWidth="1"/>
    <col min="7681" max="7681" width="2" style="32" customWidth="1"/>
    <col min="7682" max="7682" width="13.453125" style="32" customWidth="1"/>
    <col min="7683" max="7683" width="2.453125" style="32" customWidth="1"/>
    <col min="7684" max="7684" width="14.453125" style="32" customWidth="1"/>
    <col min="7685" max="7685" width="2.1796875" style="32" customWidth="1"/>
    <col min="7686" max="7686" width="14" style="32" customWidth="1"/>
    <col min="7687" max="7687" width="1.81640625" style="32" customWidth="1"/>
    <col min="7688" max="7688" width="12.54296875" style="32" customWidth="1"/>
    <col min="7689" max="7689" width="2.7265625" style="32" customWidth="1"/>
    <col min="7690" max="7690" width="11.54296875" style="32" customWidth="1"/>
    <col min="7691" max="7933" width="9.1796875" style="32"/>
    <col min="7934" max="7934" width="3.7265625" style="32" customWidth="1"/>
    <col min="7935" max="7935" width="6.7265625" style="32" customWidth="1"/>
    <col min="7936" max="7936" width="14.7265625" style="32" customWidth="1"/>
    <col min="7937" max="7937" width="2" style="32" customWidth="1"/>
    <col min="7938" max="7938" width="13.453125" style="32" customWidth="1"/>
    <col min="7939" max="7939" width="2.453125" style="32" customWidth="1"/>
    <col min="7940" max="7940" width="14.453125" style="32" customWidth="1"/>
    <col min="7941" max="7941" width="2.1796875" style="32" customWidth="1"/>
    <col min="7942" max="7942" width="14" style="32" customWidth="1"/>
    <col min="7943" max="7943" width="1.81640625" style="32" customWidth="1"/>
    <col min="7944" max="7944" width="12.54296875" style="32" customWidth="1"/>
    <col min="7945" max="7945" width="2.7265625" style="32" customWidth="1"/>
    <col min="7946" max="7946" width="11.54296875" style="32" customWidth="1"/>
    <col min="7947" max="8189" width="9.1796875" style="32"/>
    <col min="8190" max="8190" width="3.7265625" style="32" customWidth="1"/>
    <col min="8191" max="8191" width="6.7265625" style="32" customWidth="1"/>
    <col min="8192" max="8192" width="14.7265625" style="32" customWidth="1"/>
    <col min="8193" max="8193" width="2" style="32" customWidth="1"/>
    <col min="8194" max="8194" width="13.453125" style="32" customWidth="1"/>
    <col min="8195" max="8195" width="2.453125" style="32" customWidth="1"/>
    <col min="8196" max="8196" width="14.453125" style="32" customWidth="1"/>
    <col min="8197" max="8197" width="2.1796875" style="32" customWidth="1"/>
    <col min="8198" max="8198" width="14" style="32" customWidth="1"/>
    <col min="8199" max="8199" width="1.81640625" style="32" customWidth="1"/>
    <col min="8200" max="8200" width="12.54296875" style="32" customWidth="1"/>
    <col min="8201" max="8201" width="2.7265625" style="32" customWidth="1"/>
    <col min="8202" max="8202" width="11.54296875" style="32" customWidth="1"/>
    <col min="8203" max="8445" width="9.1796875" style="32"/>
    <col min="8446" max="8446" width="3.7265625" style="32" customWidth="1"/>
    <col min="8447" max="8447" width="6.7265625" style="32" customWidth="1"/>
    <col min="8448" max="8448" width="14.7265625" style="32" customWidth="1"/>
    <col min="8449" max="8449" width="2" style="32" customWidth="1"/>
    <col min="8450" max="8450" width="13.453125" style="32" customWidth="1"/>
    <col min="8451" max="8451" width="2.453125" style="32" customWidth="1"/>
    <col min="8452" max="8452" width="14.453125" style="32" customWidth="1"/>
    <col min="8453" max="8453" width="2.1796875" style="32" customWidth="1"/>
    <col min="8454" max="8454" width="14" style="32" customWidth="1"/>
    <col min="8455" max="8455" width="1.81640625" style="32" customWidth="1"/>
    <col min="8456" max="8456" width="12.54296875" style="32" customWidth="1"/>
    <col min="8457" max="8457" width="2.7265625" style="32" customWidth="1"/>
    <col min="8458" max="8458" width="11.54296875" style="32" customWidth="1"/>
    <col min="8459" max="8701" width="9.1796875" style="32"/>
    <col min="8702" max="8702" width="3.7265625" style="32" customWidth="1"/>
    <col min="8703" max="8703" width="6.7265625" style="32" customWidth="1"/>
    <col min="8704" max="8704" width="14.7265625" style="32" customWidth="1"/>
    <col min="8705" max="8705" width="2" style="32" customWidth="1"/>
    <col min="8706" max="8706" width="13.453125" style="32" customWidth="1"/>
    <col min="8707" max="8707" width="2.453125" style="32" customWidth="1"/>
    <col min="8708" max="8708" width="14.453125" style="32" customWidth="1"/>
    <col min="8709" max="8709" width="2.1796875" style="32" customWidth="1"/>
    <col min="8710" max="8710" width="14" style="32" customWidth="1"/>
    <col min="8711" max="8711" width="1.81640625" style="32" customWidth="1"/>
    <col min="8712" max="8712" width="12.54296875" style="32" customWidth="1"/>
    <col min="8713" max="8713" width="2.7265625" style="32" customWidth="1"/>
    <col min="8714" max="8714" width="11.54296875" style="32" customWidth="1"/>
    <col min="8715" max="8957" width="9.1796875" style="32"/>
    <col min="8958" max="8958" width="3.7265625" style="32" customWidth="1"/>
    <col min="8959" max="8959" width="6.7265625" style="32" customWidth="1"/>
    <col min="8960" max="8960" width="14.7265625" style="32" customWidth="1"/>
    <col min="8961" max="8961" width="2" style="32" customWidth="1"/>
    <col min="8962" max="8962" width="13.453125" style="32" customWidth="1"/>
    <col min="8963" max="8963" width="2.453125" style="32" customWidth="1"/>
    <col min="8964" max="8964" width="14.453125" style="32" customWidth="1"/>
    <col min="8965" max="8965" width="2.1796875" style="32" customWidth="1"/>
    <col min="8966" max="8966" width="14" style="32" customWidth="1"/>
    <col min="8967" max="8967" width="1.81640625" style="32" customWidth="1"/>
    <col min="8968" max="8968" width="12.54296875" style="32" customWidth="1"/>
    <col min="8969" max="8969" width="2.7265625" style="32" customWidth="1"/>
    <col min="8970" max="8970" width="11.54296875" style="32" customWidth="1"/>
    <col min="8971" max="9213" width="9.1796875" style="32"/>
    <col min="9214" max="9214" width="3.7265625" style="32" customWidth="1"/>
    <col min="9215" max="9215" width="6.7265625" style="32" customWidth="1"/>
    <col min="9216" max="9216" width="14.7265625" style="32" customWidth="1"/>
    <col min="9217" max="9217" width="2" style="32" customWidth="1"/>
    <col min="9218" max="9218" width="13.453125" style="32" customWidth="1"/>
    <col min="9219" max="9219" width="2.453125" style="32" customWidth="1"/>
    <col min="9220" max="9220" width="14.453125" style="32" customWidth="1"/>
    <col min="9221" max="9221" width="2.1796875" style="32" customWidth="1"/>
    <col min="9222" max="9222" width="14" style="32" customWidth="1"/>
    <col min="9223" max="9223" width="1.81640625" style="32" customWidth="1"/>
    <col min="9224" max="9224" width="12.54296875" style="32" customWidth="1"/>
    <col min="9225" max="9225" width="2.7265625" style="32" customWidth="1"/>
    <col min="9226" max="9226" width="11.54296875" style="32" customWidth="1"/>
    <col min="9227" max="9469" width="9.1796875" style="32"/>
    <col min="9470" max="9470" width="3.7265625" style="32" customWidth="1"/>
    <col min="9471" max="9471" width="6.7265625" style="32" customWidth="1"/>
    <col min="9472" max="9472" width="14.7265625" style="32" customWidth="1"/>
    <col min="9473" max="9473" width="2" style="32" customWidth="1"/>
    <col min="9474" max="9474" width="13.453125" style="32" customWidth="1"/>
    <col min="9475" max="9475" width="2.453125" style="32" customWidth="1"/>
    <col min="9476" max="9476" width="14.453125" style="32" customWidth="1"/>
    <col min="9477" max="9477" width="2.1796875" style="32" customWidth="1"/>
    <col min="9478" max="9478" width="14" style="32" customWidth="1"/>
    <col min="9479" max="9479" width="1.81640625" style="32" customWidth="1"/>
    <col min="9480" max="9480" width="12.54296875" style="32" customWidth="1"/>
    <col min="9481" max="9481" width="2.7265625" style="32" customWidth="1"/>
    <col min="9482" max="9482" width="11.54296875" style="32" customWidth="1"/>
    <col min="9483" max="9725" width="9.1796875" style="32"/>
    <col min="9726" max="9726" width="3.7265625" style="32" customWidth="1"/>
    <col min="9727" max="9727" width="6.7265625" style="32" customWidth="1"/>
    <col min="9728" max="9728" width="14.7265625" style="32" customWidth="1"/>
    <col min="9729" max="9729" width="2" style="32" customWidth="1"/>
    <col min="9730" max="9730" width="13.453125" style="32" customWidth="1"/>
    <col min="9731" max="9731" width="2.453125" style="32" customWidth="1"/>
    <col min="9732" max="9732" width="14.453125" style="32" customWidth="1"/>
    <col min="9733" max="9733" width="2.1796875" style="32" customWidth="1"/>
    <col min="9734" max="9734" width="14" style="32" customWidth="1"/>
    <col min="9735" max="9735" width="1.81640625" style="32" customWidth="1"/>
    <col min="9736" max="9736" width="12.54296875" style="32" customWidth="1"/>
    <col min="9737" max="9737" width="2.7265625" style="32" customWidth="1"/>
    <col min="9738" max="9738" width="11.54296875" style="32" customWidth="1"/>
    <col min="9739" max="9981" width="9.1796875" style="32"/>
    <col min="9982" max="9982" width="3.7265625" style="32" customWidth="1"/>
    <col min="9983" max="9983" width="6.7265625" style="32" customWidth="1"/>
    <col min="9984" max="9984" width="14.7265625" style="32" customWidth="1"/>
    <col min="9985" max="9985" width="2" style="32" customWidth="1"/>
    <col min="9986" max="9986" width="13.453125" style="32" customWidth="1"/>
    <col min="9987" max="9987" width="2.453125" style="32" customWidth="1"/>
    <col min="9988" max="9988" width="14.453125" style="32" customWidth="1"/>
    <col min="9989" max="9989" width="2.1796875" style="32" customWidth="1"/>
    <col min="9990" max="9990" width="14" style="32" customWidth="1"/>
    <col min="9991" max="9991" width="1.81640625" style="32" customWidth="1"/>
    <col min="9992" max="9992" width="12.54296875" style="32" customWidth="1"/>
    <col min="9993" max="9993" width="2.7265625" style="32" customWidth="1"/>
    <col min="9994" max="9994" width="11.54296875" style="32" customWidth="1"/>
    <col min="9995" max="10237" width="9.1796875" style="32"/>
    <col min="10238" max="10238" width="3.7265625" style="32" customWidth="1"/>
    <col min="10239" max="10239" width="6.7265625" style="32" customWidth="1"/>
    <col min="10240" max="10240" width="14.7265625" style="32" customWidth="1"/>
    <col min="10241" max="10241" width="2" style="32" customWidth="1"/>
    <col min="10242" max="10242" width="13.453125" style="32" customWidth="1"/>
    <col min="10243" max="10243" width="2.453125" style="32" customWidth="1"/>
    <col min="10244" max="10244" width="14.453125" style="32" customWidth="1"/>
    <col min="10245" max="10245" width="2.1796875" style="32" customWidth="1"/>
    <col min="10246" max="10246" width="14" style="32" customWidth="1"/>
    <col min="10247" max="10247" width="1.81640625" style="32" customWidth="1"/>
    <col min="10248" max="10248" width="12.54296875" style="32" customWidth="1"/>
    <col min="10249" max="10249" width="2.7265625" style="32" customWidth="1"/>
    <col min="10250" max="10250" width="11.54296875" style="32" customWidth="1"/>
    <col min="10251" max="10493" width="9.1796875" style="32"/>
    <col min="10494" max="10494" width="3.7265625" style="32" customWidth="1"/>
    <col min="10495" max="10495" width="6.7265625" style="32" customWidth="1"/>
    <col min="10496" max="10496" width="14.7265625" style="32" customWidth="1"/>
    <col min="10497" max="10497" width="2" style="32" customWidth="1"/>
    <col min="10498" max="10498" width="13.453125" style="32" customWidth="1"/>
    <col min="10499" max="10499" width="2.453125" style="32" customWidth="1"/>
    <col min="10500" max="10500" width="14.453125" style="32" customWidth="1"/>
    <col min="10501" max="10501" width="2.1796875" style="32" customWidth="1"/>
    <col min="10502" max="10502" width="14" style="32" customWidth="1"/>
    <col min="10503" max="10503" width="1.81640625" style="32" customWidth="1"/>
    <col min="10504" max="10504" width="12.54296875" style="32" customWidth="1"/>
    <col min="10505" max="10505" width="2.7265625" style="32" customWidth="1"/>
    <col min="10506" max="10506" width="11.54296875" style="32" customWidth="1"/>
    <col min="10507" max="10749" width="9.1796875" style="32"/>
    <col min="10750" max="10750" width="3.7265625" style="32" customWidth="1"/>
    <col min="10751" max="10751" width="6.7265625" style="32" customWidth="1"/>
    <col min="10752" max="10752" width="14.7265625" style="32" customWidth="1"/>
    <col min="10753" max="10753" width="2" style="32" customWidth="1"/>
    <col min="10754" max="10754" width="13.453125" style="32" customWidth="1"/>
    <col min="10755" max="10755" width="2.453125" style="32" customWidth="1"/>
    <col min="10756" max="10756" width="14.453125" style="32" customWidth="1"/>
    <col min="10757" max="10757" width="2.1796875" style="32" customWidth="1"/>
    <col min="10758" max="10758" width="14" style="32" customWidth="1"/>
    <col min="10759" max="10759" width="1.81640625" style="32" customWidth="1"/>
    <col min="10760" max="10760" width="12.54296875" style="32" customWidth="1"/>
    <col min="10761" max="10761" width="2.7265625" style="32" customWidth="1"/>
    <col min="10762" max="10762" width="11.54296875" style="32" customWidth="1"/>
    <col min="10763" max="11005" width="9.1796875" style="32"/>
    <col min="11006" max="11006" width="3.7265625" style="32" customWidth="1"/>
    <col min="11007" max="11007" width="6.7265625" style="32" customWidth="1"/>
    <col min="11008" max="11008" width="14.7265625" style="32" customWidth="1"/>
    <col min="11009" max="11009" width="2" style="32" customWidth="1"/>
    <col min="11010" max="11010" width="13.453125" style="32" customWidth="1"/>
    <col min="11011" max="11011" width="2.453125" style="32" customWidth="1"/>
    <col min="11012" max="11012" width="14.453125" style="32" customWidth="1"/>
    <col min="11013" max="11013" width="2.1796875" style="32" customWidth="1"/>
    <col min="11014" max="11014" width="14" style="32" customWidth="1"/>
    <col min="11015" max="11015" width="1.81640625" style="32" customWidth="1"/>
    <col min="11016" max="11016" width="12.54296875" style="32" customWidth="1"/>
    <col min="11017" max="11017" width="2.7265625" style="32" customWidth="1"/>
    <col min="11018" max="11018" width="11.54296875" style="32" customWidth="1"/>
    <col min="11019" max="11261" width="9.1796875" style="32"/>
    <col min="11262" max="11262" width="3.7265625" style="32" customWidth="1"/>
    <col min="11263" max="11263" width="6.7265625" style="32" customWidth="1"/>
    <col min="11264" max="11264" width="14.7265625" style="32" customWidth="1"/>
    <col min="11265" max="11265" width="2" style="32" customWidth="1"/>
    <col min="11266" max="11266" width="13.453125" style="32" customWidth="1"/>
    <col min="11267" max="11267" width="2.453125" style="32" customWidth="1"/>
    <col min="11268" max="11268" width="14.453125" style="32" customWidth="1"/>
    <col min="11269" max="11269" width="2.1796875" style="32" customWidth="1"/>
    <col min="11270" max="11270" width="14" style="32" customWidth="1"/>
    <col min="11271" max="11271" width="1.81640625" style="32" customWidth="1"/>
    <col min="11272" max="11272" width="12.54296875" style="32" customWidth="1"/>
    <col min="11273" max="11273" width="2.7265625" style="32" customWidth="1"/>
    <col min="11274" max="11274" width="11.54296875" style="32" customWidth="1"/>
    <col min="11275" max="11517" width="9.1796875" style="32"/>
    <col min="11518" max="11518" width="3.7265625" style="32" customWidth="1"/>
    <col min="11519" max="11519" width="6.7265625" style="32" customWidth="1"/>
    <col min="11520" max="11520" width="14.7265625" style="32" customWidth="1"/>
    <col min="11521" max="11521" width="2" style="32" customWidth="1"/>
    <col min="11522" max="11522" width="13.453125" style="32" customWidth="1"/>
    <col min="11523" max="11523" width="2.453125" style="32" customWidth="1"/>
    <col min="11524" max="11524" width="14.453125" style="32" customWidth="1"/>
    <col min="11525" max="11525" width="2.1796875" style="32" customWidth="1"/>
    <col min="11526" max="11526" width="14" style="32" customWidth="1"/>
    <col min="11527" max="11527" width="1.81640625" style="32" customWidth="1"/>
    <col min="11528" max="11528" width="12.54296875" style="32" customWidth="1"/>
    <col min="11529" max="11529" width="2.7265625" style="32" customWidth="1"/>
    <col min="11530" max="11530" width="11.54296875" style="32" customWidth="1"/>
    <col min="11531" max="11773" width="9.1796875" style="32"/>
    <col min="11774" max="11774" width="3.7265625" style="32" customWidth="1"/>
    <col min="11775" max="11775" width="6.7265625" style="32" customWidth="1"/>
    <col min="11776" max="11776" width="14.7265625" style="32" customWidth="1"/>
    <col min="11777" max="11777" width="2" style="32" customWidth="1"/>
    <col min="11778" max="11778" width="13.453125" style="32" customWidth="1"/>
    <col min="11779" max="11779" width="2.453125" style="32" customWidth="1"/>
    <col min="11780" max="11780" width="14.453125" style="32" customWidth="1"/>
    <col min="11781" max="11781" width="2.1796875" style="32" customWidth="1"/>
    <col min="11782" max="11782" width="14" style="32" customWidth="1"/>
    <col min="11783" max="11783" width="1.81640625" style="32" customWidth="1"/>
    <col min="11784" max="11784" width="12.54296875" style="32" customWidth="1"/>
    <col min="11785" max="11785" width="2.7265625" style="32" customWidth="1"/>
    <col min="11786" max="11786" width="11.54296875" style="32" customWidth="1"/>
    <col min="11787" max="12029" width="9.1796875" style="32"/>
    <col min="12030" max="12030" width="3.7265625" style="32" customWidth="1"/>
    <col min="12031" max="12031" width="6.7265625" style="32" customWidth="1"/>
    <col min="12032" max="12032" width="14.7265625" style="32" customWidth="1"/>
    <col min="12033" max="12033" width="2" style="32" customWidth="1"/>
    <col min="12034" max="12034" width="13.453125" style="32" customWidth="1"/>
    <col min="12035" max="12035" width="2.453125" style="32" customWidth="1"/>
    <col min="12036" max="12036" width="14.453125" style="32" customWidth="1"/>
    <col min="12037" max="12037" width="2.1796875" style="32" customWidth="1"/>
    <col min="12038" max="12038" width="14" style="32" customWidth="1"/>
    <col min="12039" max="12039" width="1.81640625" style="32" customWidth="1"/>
    <col min="12040" max="12040" width="12.54296875" style="32" customWidth="1"/>
    <col min="12041" max="12041" width="2.7265625" style="32" customWidth="1"/>
    <col min="12042" max="12042" width="11.54296875" style="32" customWidth="1"/>
    <col min="12043" max="12285" width="9.1796875" style="32"/>
    <col min="12286" max="12286" width="3.7265625" style="32" customWidth="1"/>
    <col min="12287" max="12287" width="6.7265625" style="32" customWidth="1"/>
    <col min="12288" max="12288" width="14.7265625" style="32" customWidth="1"/>
    <col min="12289" max="12289" width="2" style="32" customWidth="1"/>
    <col min="12290" max="12290" width="13.453125" style="32" customWidth="1"/>
    <col min="12291" max="12291" width="2.453125" style="32" customWidth="1"/>
    <col min="12292" max="12292" width="14.453125" style="32" customWidth="1"/>
    <col min="12293" max="12293" width="2.1796875" style="32" customWidth="1"/>
    <col min="12294" max="12294" width="14" style="32" customWidth="1"/>
    <col min="12295" max="12295" width="1.81640625" style="32" customWidth="1"/>
    <col min="12296" max="12296" width="12.54296875" style="32" customWidth="1"/>
    <col min="12297" max="12297" width="2.7265625" style="32" customWidth="1"/>
    <col min="12298" max="12298" width="11.54296875" style="32" customWidth="1"/>
    <col min="12299" max="12541" width="9.1796875" style="32"/>
    <col min="12542" max="12542" width="3.7265625" style="32" customWidth="1"/>
    <col min="12543" max="12543" width="6.7265625" style="32" customWidth="1"/>
    <col min="12544" max="12544" width="14.7265625" style="32" customWidth="1"/>
    <col min="12545" max="12545" width="2" style="32" customWidth="1"/>
    <col min="12546" max="12546" width="13.453125" style="32" customWidth="1"/>
    <col min="12547" max="12547" width="2.453125" style="32" customWidth="1"/>
    <col min="12548" max="12548" width="14.453125" style="32" customWidth="1"/>
    <col min="12549" max="12549" width="2.1796875" style="32" customWidth="1"/>
    <col min="12550" max="12550" width="14" style="32" customWidth="1"/>
    <col min="12551" max="12551" width="1.81640625" style="32" customWidth="1"/>
    <col min="12552" max="12552" width="12.54296875" style="32" customWidth="1"/>
    <col min="12553" max="12553" width="2.7265625" style="32" customWidth="1"/>
    <col min="12554" max="12554" width="11.54296875" style="32" customWidth="1"/>
    <col min="12555" max="12797" width="9.1796875" style="32"/>
    <col min="12798" max="12798" width="3.7265625" style="32" customWidth="1"/>
    <col min="12799" max="12799" width="6.7265625" style="32" customWidth="1"/>
    <col min="12800" max="12800" width="14.7265625" style="32" customWidth="1"/>
    <col min="12801" max="12801" width="2" style="32" customWidth="1"/>
    <col min="12802" max="12802" width="13.453125" style="32" customWidth="1"/>
    <col min="12803" max="12803" width="2.453125" style="32" customWidth="1"/>
    <col min="12804" max="12804" width="14.453125" style="32" customWidth="1"/>
    <col min="12805" max="12805" width="2.1796875" style="32" customWidth="1"/>
    <col min="12806" max="12806" width="14" style="32" customWidth="1"/>
    <col min="12807" max="12807" width="1.81640625" style="32" customWidth="1"/>
    <col min="12808" max="12808" width="12.54296875" style="32" customWidth="1"/>
    <col min="12809" max="12809" width="2.7265625" style="32" customWidth="1"/>
    <col min="12810" max="12810" width="11.54296875" style="32" customWidth="1"/>
    <col min="12811" max="13053" width="9.1796875" style="32"/>
    <col min="13054" max="13054" width="3.7265625" style="32" customWidth="1"/>
    <col min="13055" max="13055" width="6.7265625" style="32" customWidth="1"/>
    <col min="13056" max="13056" width="14.7265625" style="32" customWidth="1"/>
    <col min="13057" max="13057" width="2" style="32" customWidth="1"/>
    <col min="13058" max="13058" width="13.453125" style="32" customWidth="1"/>
    <col min="13059" max="13059" width="2.453125" style="32" customWidth="1"/>
    <col min="13060" max="13060" width="14.453125" style="32" customWidth="1"/>
    <col min="13061" max="13061" width="2.1796875" style="32" customWidth="1"/>
    <col min="13062" max="13062" width="14" style="32" customWidth="1"/>
    <col min="13063" max="13063" width="1.81640625" style="32" customWidth="1"/>
    <col min="13064" max="13064" width="12.54296875" style="32" customWidth="1"/>
    <col min="13065" max="13065" width="2.7265625" style="32" customWidth="1"/>
    <col min="13066" max="13066" width="11.54296875" style="32" customWidth="1"/>
    <col min="13067" max="13309" width="9.1796875" style="32"/>
    <col min="13310" max="13310" width="3.7265625" style="32" customWidth="1"/>
    <col min="13311" max="13311" width="6.7265625" style="32" customWidth="1"/>
    <col min="13312" max="13312" width="14.7265625" style="32" customWidth="1"/>
    <col min="13313" max="13313" width="2" style="32" customWidth="1"/>
    <col min="13314" max="13314" width="13.453125" style="32" customWidth="1"/>
    <col min="13315" max="13315" width="2.453125" style="32" customWidth="1"/>
    <col min="13316" max="13316" width="14.453125" style="32" customWidth="1"/>
    <col min="13317" max="13317" width="2.1796875" style="32" customWidth="1"/>
    <col min="13318" max="13318" width="14" style="32" customWidth="1"/>
    <col min="13319" max="13319" width="1.81640625" style="32" customWidth="1"/>
    <col min="13320" max="13320" width="12.54296875" style="32" customWidth="1"/>
    <col min="13321" max="13321" width="2.7265625" style="32" customWidth="1"/>
    <col min="13322" max="13322" width="11.54296875" style="32" customWidth="1"/>
    <col min="13323" max="13565" width="9.1796875" style="32"/>
    <col min="13566" max="13566" width="3.7265625" style="32" customWidth="1"/>
    <col min="13567" max="13567" width="6.7265625" style="32" customWidth="1"/>
    <col min="13568" max="13568" width="14.7265625" style="32" customWidth="1"/>
    <col min="13569" max="13569" width="2" style="32" customWidth="1"/>
    <col min="13570" max="13570" width="13.453125" style="32" customWidth="1"/>
    <col min="13571" max="13571" width="2.453125" style="32" customWidth="1"/>
    <col min="13572" max="13572" width="14.453125" style="32" customWidth="1"/>
    <col min="13573" max="13573" width="2.1796875" style="32" customWidth="1"/>
    <col min="13574" max="13574" width="14" style="32" customWidth="1"/>
    <col min="13575" max="13575" width="1.81640625" style="32" customWidth="1"/>
    <col min="13576" max="13576" width="12.54296875" style="32" customWidth="1"/>
    <col min="13577" max="13577" width="2.7265625" style="32" customWidth="1"/>
    <col min="13578" max="13578" width="11.54296875" style="32" customWidth="1"/>
    <col min="13579" max="13821" width="9.1796875" style="32"/>
    <col min="13822" max="13822" width="3.7265625" style="32" customWidth="1"/>
    <col min="13823" max="13823" width="6.7265625" style="32" customWidth="1"/>
    <col min="13824" max="13824" width="14.7265625" style="32" customWidth="1"/>
    <col min="13825" max="13825" width="2" style="32" customWidth="1"/>
    <col min="13826" max="13826" width="13.453125" style="32" customWidth="1"/>
    <col min="13827" max="13827" width="2.453125" style="32" customWidth="1"/>
    <col min="13828" max="13828" width="14.453125" style="32" customWidth="1"/>
    <col min="13829" max="13829" width="2.1796875" style="32" customWidth="1"/>
    <col min="13830" max="13830" width="14" style="32" customWidth="1"/>
    <col min="13831" max="13831" width="1.81640625" style="32" customWidth="1"/>
    <col min="13832" max="13832" width="12.54296875" style="32" customWidth="1"/>
    <col min="13833" max="13833" width="2.7265625" style="32" customWidth="1"/>
    <col min="13834" max="13834" width="11.54296875" style="32" customWidth="1"/>
    <col min="13835" max="14077" width="9.1796875" style="32"/>
    <col min="14078" max="14078" width="3.7265625" style="32" customWidth="1"/>
    <col min="14079" max="14079" width="6.7265625" style="32" customWidth="1"/>
    <col min="14080" max="14080" width="14.7265625" style="32" customWidth="1"/>
    <col min="14081" max="14081" width="2" style="32" customWidth="1"/>
    <col min="14082" max="14082" width="13.453125" style="32" customWidth="1"/>
    <col min="14083" max="14083" width="2.453125" style="32" customWidth="1"/>
    <col min="14084" max="14084" width="14.453125" style="32" customWidth="1"/>
    <col min="14085" max="14085" width="2.1796875" style="32" customWidth="1"/>
    <col min="14086" max="14086" width="14" style="32" customWidth="1"/>
    <col min="14087" max="14087" width="1.81640625" style="32" customWidth="1"/>
    <col min="14088" max="14088" width="12.54296875" style="32" customWidth="1"/>
    <col min="14089" max="14089" width="2.7265625" style="32" customWidth="1"/>
    <col min="14090" max="14090" width="11.54296875" style="32" customWidth="1"/>
    <col min="14091" max="14333" width="9.1796875" style="32"/>
    <col min="14334" max="14334" width="3.7265625" style="32" customWidth="1"/>
    <col min="14335" max="14335" width="6.7265625" style="32" customWidth="1"/>
    <col min="14336" max="14336" width="14.7265625" style="32" customWidth="1"/>
    <col min="14337" max="14337" width="2" style="32" customWidth="1"/>
    <col min="14338" max="14338" width="13.453125" style="32" customWidth="1"/>
    <col min="14339" max="14339" width="2.453125" style="32" customWidth="1"/>
    <col min="14340" max="14340" width="14.453125" style="32" customWidth="1"/>
    <col min="14341" max="14341" width="2.1796875" style="32" customWidth="1"/>
    <col min="14342" max="14342" width="14" style="32" customWidth="1"/>
    <col min="14343" max="14343" width="1.81640625" style="32" customWidth="1"/>
    <col min="14344" max="14344" width="12.54296875" style="32" customWidth="1"/>
    <col min="14345" max="14345" width="2.7265625" style="32" customWidth="1"/>
    <col min="14346" max="14346" width="11.54296875" style="32" customWidth="1"/>
    <col min="14347" max="14589" width="9.1796875" style="32"/>
    <col min="14590" max="14590" width="3.7265625" style="32" customWidth="1"/>
    <col min="14591" max="14591" width="6.7265625" style="32" customWidth="1"/>
    <col min="14592" max="14592" width="14.7265625" style="32" customWidth="1"/>
    <col min="14593" max="14593" width="2" style="32" customWidth="1"/>
    <col min="14594" max="14594" width="13.453125" style="32" customWidth="1"/>
    <col min="14595" max="14595" width="2.453125" style="32" customWidth="1"/>
    <col min="14596" max="14596" width="14.453125" style="32" customWidth="1"/>
    <col min="14597" max="14597" width="2.1796875" style="32" customWidth="1"/>
    <col min="14598" max="14598" width="14" style="32" customWidth="1"/>
    <col min="14599" max="14599" width="1.81640625" style="32" customWidth="1"/>
    <col min="14600" max="14600" width="12.54296875" style="32" customWidth="1"/>
    <col min="14601" max="14601" width="2.7265625" style="32" customWidth="1"/>
    <col min="14602" max="14602" width="11.54296875" style="32" customWidth="1"/>
    <col min="14603" max="14845" width="9.1796875" style="32"/>
    <col min="14846" max="14846" width="3.7265625" style="32" customWidth="1"/>
    <col min="14847" max="14847" width="6.7265625" style="32" customWidth="1"/>
    <col min="14848" max="14848" width="14.7265625" style="32" customWidth="1"/>
    <col min="14849" max="14849" width="2" style="32" customWidth="1"/>
    <col min="14850" max="14850" width="13.453125" style="32" customWidth="1"/>
    <col min="14851" max="14851" width="2.453125" style="32" customWidth="1"/>
    <col min="14852" max="14852" width="14.453125" style="32" customWidth="1"/>
    <col min="14853" max="14853" width="2.1796875" style="32" customWidth="1"/>
    <col min="14854" max="14854" width="14" style="32" customWidth="1"/>
    <col min="14855" max="14855" width="1.81640625" style="32" customWidth="1"/>
    <col min="14856" max="14856" width="12.54296875" style="32" customWidth="1"/>
    <col min="14857" max="14857" width="2.7265625" style="32" customWidth="1"/>
    <col min="14858" max="14858" width="11.54296875" style="32" customWidth="1"/>
    <col min="14859" max="15101" width="9.1796875" style="32"/>
    <col min="15102" max="15102" width="3.7265625" style="32" customWidth="1"/>
    <col min="15103" max="15103" width="6.7265625" style="32" customWidth="1"/>
    <col min="15104" max="15104" width="14.7265625" style="32" customWidth="1"/>
    <col min="15105" max="15105" width="2" style="32" customWidth="1"/>
    <col min="15106" max="15106" width="13.453125" style="32" customWidth="1"/>
    <col min="15107" max="15107" width="2.453125" style="32" customWidth="1"/>
    <col min="15108" max="15108" width="14.453125" style="32" customWidth="1"/>
    <col min="15109" max="15109" width="2.1796875" style="32" customWidth="1"/>
    <col min="15110" max="15110" width="14" style="32" customWidth="1"/>
    <col min="15111" max="15111" width="1.81640625" style="32" customWidth="1"/>
    <col min="15112" max="15112" width="12.54296875" style="32" customWidth="1"/>
    <col min="15113" max="15113" width="2.7265625" style="32" customWidth="1"/>
    <col min="15114" max="15114" width="11.54296875" style="32" customWidth="1"/>
    <col min="15115" max="15357" width="9.1796875" style="32"/>
    <col min="15358" max="15358" width="3.7265625" style="32" customWidth="1"/>
    <col min="15359" max="15359" width="6.7265625" style="32" customWidth="1"/>
    <col min="15360" max="15360" width="14.7265625" style="32" customWidth="1"/>
    <col min="15361" max="15361" width="2" style="32" customWidth="1"/>
    <col min="15362" max="15362" width="13.453125" style="32" customWidth="1"/>
    <col min="15363" max="15363" width="2.453125" style="32" customWidth="1"/>
    <col min="15364" max="15364" width="14.453125" style="32" customWidth="1"/>
    <col min="15365" max="15365" width="2.1796875" style="32" customWidth="1"/>
    <col min="15366" max="15366" width="14" style="32" customWidth="1"/>
    <col min="15367" max="15367" width="1.81640625" style="32" customWidth="1"/>
    <col min="15368" max="15368" width="12.54296875" style="32" customWidth="1"/>
    <col min="15369" max="15369" width="2.7265625" style="32" customWidth="1"/>
    <col min="15370" max="15370" width="11.54296875" style="32" customWidth="1"/>
    <col min="15371" max="15613" width="9.1796875" style="32"/>
    <col min="15614" max="15614" width="3.7265625" style="32" customWidth="1"/>
    <col min="15615" max="15615" width="6.7265625" style="32" customWidth="1"/>
    <col min="15616" max="15616" width="14.7265625" style="32" customWidth="1"/>
    <col min="15617" max="15617" width="2" style="32" customWidth="1"/>
    <col min="15618" max="15618" width="13.453125" style="32" customWidth="1"/>
    <col min="15619" max="15619" width="2.453125" style="32" customWidth="1"/>
    <col min="15620" max="15620" width="14.453125" style="32" customWidth="1"/>
    <col min="15621" max="15621" width="2.1796875" style="32" customWidth="1"/>
    <col min="15622" max="15622" width="14" style="32" customWidth="1"/>
    <col min="15623" max="15623" width="1.81640625" style="32" customWidth="1"/>
    <col min="15624" max="15624" width="12.54296875" style="32" customWidth="1"/>
    <col min="15625" max="15625" width="2.7265625" style="32" customWidth="1"/>
    <col min="15626" max="15626" width="11.54296875" style="32" customWidth="1"/>
    <col min="15627" max="15869" width="9.1796875" style="32"/>
    <col min="15870" max="15870" width="3.7265625" style="32" customWidth="1"/>
    <col min="15871" max="15871" width="6.7265625" style="32" customWidth="1"/>
    <col min="15872" max="15872" width="14.7265625" style="32" customWidth="1"/>
    <col min="15873" max="15873" width="2" style="32" customWidth="1"/>
    <col min="15874" max="15874" width="13.453125" style="32" customWidth="1"/>
    <col min="15875" max="15875" width="2.453125" style="32" customWidth="1"/>
    <col min="15876" max="15876" width="14.453125" style="32" customWidth="1"/>
    <col min="15877" max="15877" width="2.1796875" style="32" customWidth="1"/>
    <col min="15878" max="15878" width="14" style="32" customWidth="1"/>
    <col min="15879" max="15879" width="1.81640625" style="32" customWidth="1"/>
    <col min="15880" max="15880" width="12.54296875" style="32" customWidth="1"/>
    <col min="15881" max="15881" width="2.7265625" style="32" customWidth="1"/>
    <col min="15882" max="15882" width="11.54296875" style="32" customWidth="1"/>
    <col min="15883" max="16125" width="9.1796875" style="32"/>
    <col min="16126" max="16126" width="3.7265625" style="32" customWidth="1"/>
    <col min="16127" max="16127" width="6.7265625" style="32" customWidth="1"/>
    <col min="16128" max="16128" width="14.7265625" style="32" customWidth="1"/>
    <col min="16129" max="16129" width="2" style="32" customWidth="1"/>
    <col min="16130" max="16130" width="13.453125" style="32" customWidth="1"/>
    <col min="16131" max="16131" width="2.453125" style="32" customWidth="1"/>
    <col min="16132" max="16132" width="14.453125" style="32" customWidth="1"/>
    <col min="16133" max="16133" width="2.1796875" style="32" customWidth="1"/>
    <col min="16134" max="16134" width="14" style="32" customWidth="1"/>
    <col min="16135" max="16135" width="1.81640625" style="32" customWidth="1"/>
    <col min="16136" max="16136" width="12.54296875" style="32" customWidth="1"/>
    <col min="16137" max="16137" width="2.7265625" style="32" customWidth="1"/>
    <col min="16138" max="16138" width="11.54296875" style="32" customWidth="1"/>
    <col min="16139" max="16384" width="9.1796875" style="32"/>
  </cols>
  <sheetData>
    <row r="1" spans="1:10" ht="15.5">
      <c r="A1" s="542" t="str">
        <f>+SCF!A1</f>
        <v>MES CONTRACTING AND TRADING LTD</v>
      </c>
      <c r="B1" s="542"/>
      <c r="C1" s="542"/>
      <c r="D1" s="542"/>
      <c r="E1" s="542"/>
      <c r="F1" s="542"/>
      <c r="G1" s="542"/>
      <c r="H1" s="542"/>
      <c r="I1" s="542"/>
      <c r="J1" s="542"/>
    </row>
    <row r="2" spans="1:10" ht="15.5">
      <c r="A2" s="542" t="s">
        <v>132</v>
      </c>
      <c r="B2" s="542"/>
      <c r="C2" s="542"/>
      <c r="D2" s="542"/>
      <c r="E2" s="542"/>
      <c r="F2" s="542"/>
      <c r="G2" s="542"/>
      <c r="H2" s="542"/>
      <c r="I2" s="542"/>
      <c r="J2" s="542"/>
    </row>
    <row r="3" spans="1:10" ht="15.5">
      <c r="A3" s="560" t="str">
        <f>+SCE!A3</f>
        <v>FOR THE YEAR ENDED 31 DECEMBER 2023</v>
      </c>
      <c r="B3" s="560"/>
      <c r="C3" s="560"/>
      <c r="D3" s="560"/>
      <c r="E3" s="560"/>
      <c r="F3" s="560"/>
      <c r="G3" s="560"/>
      <c r="H3" s="560"/>
      <c r="I3" s="560"/>
      <c r="J3" s="560"/>
    </row>
    <row r="5" spans="1:10">
      <c r="A5" s="306">
        <v>1</v>
      </c>
      <c r="B5" s="57" t="s">
        <v>133</v>
      </c>
    </row>
    <row r="6" spans="1:10" ht="6.65" customHeight="1"/>
    <row r="7" spans="1:10" ht="18" customHeight="1">
      <c r="B7" s="561" t="s">
        <v>468</v>
      </c>
      <c r="C7" s="561"/>
      <c r="D7" s="561"/>
      <c r="E7" s="561"/>
      <c r="F7" s="561"/>
      <c r="G7" s="561"/>
      <c r="H7" s="561"/>
      <c r="I7" s="561"/>
      <c r="J7" s="561"/>
    </row>
    <row r="8" spans="1:10">
      <c r="B8" s="561"/>
      <c r="C8" s="561"/>
      <c r="D8" s="561"/>
      <c r="E8" s="561"/>
      <c r="F8" s="561"/>
      <c r="G8" s="561"/>
      <c r="H8" s="561"/>
      <c r="I8" s="561"/>
      <c r="J8" s="561"/>
    </row>
    <row r="9" spans="1:10">
      <c r="B9" s="561"/>
      <c r="C9" s="561"/>
      <c r="D9" s="561"/>
      <c r="E9" s="561"/>
      <c r="F9" s="561"/>
      <c r="G9" s="561"/>
      <c r="H9" s="561"/>
      <c r="I9" s="561"/>
      <c r="J9" s="561"/>
    </row>
    <row r="10" spans="1:10" ht="23.25" customHeight="1">
      <c r="B10" s="561"/>
      <c r="C10" s="561"/>
      <c r="D10" s="561"/>
      <c r="E10" s="561"/>
      <c r="F10" s="561"/>
      <c r="G10" s="561"/>
      <c r="H10" s="561"/>
      <c r="I10" s="561"/>
      <c r="J10" s="561"/>
    </row>
    <row r="11" spans="1:10">
      <c r="B11" s="90"/>
      <c r="C11" s="90"/>
      <c r="D11" s="90"/>
      <c r="E11" s="90"/>
      <c r="F11" s="90"/>
      <c r="G11" s="90"/>
      <c r="H11" s="90"/>
      <c r="I11" s="90"/>
      <c r="J11" s="90"/>
    </row>
    <row r="12" spans="1:10" ht="6" customHeight="1"/>
    <row r="13" spans="1:10">
      <c r="A13" s="306">
        <v>2</v>
      </c>
      <c r="B13" s="68" t="s">
        <v>134</v>
      </c>
    </row>
    <row r="14" spans="1:10" ht="7.15" customHeight="1">
      <c r="A14" s="68"/>
      <c r="B14" s="68"/>
    </row>
    <row r="15" spans="1:10">
      <c r="A15" s="57"/>
      <c r="B15" s="32" t="s">
        <v>135</v>
      </c>
    </row>
    <row r="16" spans="1:10">
      <c r="A16" s="57"/>
      <c r="B16" s="32" t="s">
        <v>136</v>
      </c>
    </row>
    <row r="17" spans="1:7">
      <c r="A17" s="57"/>
    </row>
    <row r="18" spans="1:7">
      <c r="A18" s="57"/>
    </row>
    <row r="19" spans="1:7">
      <c r="A19" s="306" t="s">
        <v>137</v>
      </c>
      <c r="B19" s="57" t="s">
        <v>138</v>
      </c>
    </row>
    <row r="20" spans="1:7">
      <c r="A20" s="57"/>
      <c r="B20" s="32" t="s">
        <v>139</v>
      </c>
    </row>
    <row r="21" spans="1:7">
      <c r="A21" s="57"/>
    </row>
    <row r="22" spans="1:7" ht="14.25" customHeight="1">
      <c r="A22" s="57"/>
    </row>
    <row r="23" spans="1:7">
      <c r="A23" s="306" t="s">
        <v>140</v>
      </c>
      <c r="B23" s="57" t="s">
        <v>141</v>
      </c>
    </row>
    <row r="24" spans="1:7">
      <c r="A24" s="57"/>
      <c r="B24" s="32" t="s">
        <v>142</v>
      </c>
    </row>
    <row r="25" spans="1:7" ht="10.5" customHeight="1">
      <c r="A25" s="57"/>
    </row>
    <row r="26" spans="1:7">
      <c r="A26" s="57"/>
      <c r="C26" s="32" t="s">
        <v>143</v>
      </c>
      <c r="G26" s="292">
        <v>0.2</v>
      </c>
    </row>
    <row r="27" spans="1:7">
      <c r="A27" s="57"/>
      <c r="C27" s="32" t="s">
        <v>144</v>
      </c>
      <c r="G27" s="292">
        <v>0.1</v>
      </c>
    </row>
    <row r="28" spans="1:7">
      <c r="A28" s="57"/>
      <c r="C28" s="32" t="s">
        <v>145</v>
      </c>
      <c r="G28" s="292">
        <v>0.1</v>
      </c>
    </row>
    <row r="29" spans="1:7">
      <c r="A29" s="57"/>
      <c r="C29" s="32" t="s">
        <v>185</v>
      </c>
      <c r="F29" s="91"/>
      <c r="G29" s="292">
        <v>7.4999999999999997E-2</v>
      </c>
    </row>
    <row r="30" spans="1:7" ht="12.75" customHeight="1">
      <c r="A30" s="57"/>
      <c r="C30" s="32" t="s">
        <v>461</v>
      </c>
      <c r="G30" s="292">
        <v>0.1</v>
      </c>
    </row>
    <row r="31" spans="1:7" ht="12.75" customHeight="1">
      <c r="A31" s="57"/>
      <c r="C31" s="32" t="s">
        <v>462</v>
      </c>
      <c r="G31" s="292">
        <v>0.03</v>
      </c>
    </row>
    <row r="32" spans="1:7">
      <c r="A32" s="57"/>
      <c r="C32" s="32" t="s">
        <v>463</v>
      </c>
      <c r="G32" s="292">
        <v>7.4999999999999997E-2</v>
      </c>
    </row>
    <row r="33" spans="1:10">
      <c r="A33" s="57"/>
    </row>
    <row r="34" spans="1:10">
      <c r="A34" s="306" t="s">
        <v>146</v>
      </c>
      <c r="B34" s="57" t="s">
        <v>147</v>
      </c>
    </row>
    <row r="35" spans="1:10" ht="6.65" customHeight="1">
      <c r="A35" s="57"/>
    </row>
    <row r="36" spans="1:10" ht="13.9" customHeight="1">
      <c r="A36" s="57"/>
      <c r="B36" s="547" t="s">
        <v>466</v>
      </c>
      <c r="C36" s="547"/>
      <c r="D36" s="547"/>
      <c r="E36" s="547"/>
      <c r="F36" s="547"/>
      <c r="G36" s="547"/>
      <c r="H36" s="547"/>
      <c r="I36" s="547"/>
      <c r="J36" s="547"/>
    </row>
    <row r="37" spans="1:10">
      <c r="A37" s="57"/>
      <c r="B37" s="547"/>
      <c r="C37" s="547"/>
      <c r="D37" s="547"/>
      <c r="E37" s="547"/>
      <c r="F37" s="547"/>
      <c r="G37" s="547"/>
      <c r="H37" s="547"/>
      <c r="I37" s="547"/>
      <c r="J37" s="547"/>
    </row>
    <row r="38" spans="1:10">
      <c r="A38" s="57"/>
      <c r="B38" s="547"/>
      <c r="C38" s="547"/>
      <c r="D38" s="547"/>
      <c r="E38" s="547"/>
      <c r="F38" s="547"/>
      <c r="G38" s="547"/>
      <c r="H38" s="547"/>
      <c r="I38" s="547"/>
      <c r="J38" s="547"/>
    </row>
    <row r="39" spans="1:10">
      <c r="A39" s="57"/>
    </row>
    <row r="40" spans="1:10">
      <c r="A40" s="57"/>
      <c r="B40" s="57" t="s">
        <v>82</v>
      </c>
    </row>
    <row r="41" spans="1:10">
      <c r="A41" s="306" t="s">
        <v>148</v>
      </c>
      <c r="B41" s="32" t="s">
        <v>149</v>
      </c>
    </row>
    <row r="42" spans="1:10" ht="7.9" customHeight="1">
      <c r="A42" s="306"/>
    </row>
    <row r="43" spans="1:10">
      <c r="A43" s="57"/>
    </row>
    <row r="44" spans="1:10">
      <c r="A44" s="306" t="s">
        <v>150</v>
      </c>
      <c r="B44" s="57" t="s">
        <v>151</v>
      </c>
    </row>
    <row r="45" spans="1:10" ht="3" customHeight="1">
      <c r="A45" s="68"/>
      <c r="B45" s="57"/>
      <c r="H45" s="92"/>
      <c r="J45" s="92"/>
    </row>
    <row r="46" spans="1:10" ht="13.9" customHeight="1">
      <c r="A46" s="68"/>
      <c r="B46" s="561" t="s">
        <v>152</v>
      </c>
      <c r="C46" s="561"/>
      <c r="D46" s="561"/>
      <c r="E46" s="561"/>
      <c r="F46" s="561"/>
      <c r="G46" s="561"/>
      <c r="H46" s="561"/>
      <c r="I46" s="561"/>
      <c r="J46" s="561"/>
    </row>
    <row r="47" spans="1:10">
      <c r="A47" s="57"/>
      <c r="B47" s="561"/>
      <c r="C47" s="561"/>
      <c r="D47" s="561"/>
      <c r="E47" s="561"/>
      <c r="F47" s="561"/>
      <c r="G47" s="561"/>
      <c r="H47" s="561"/>
      <c r="I47" s="561"/>
      <c r="J47" s="561"/>
    </row>
    <row r="48" spans="1:10">
      <c r="A48" s="57"/>
      <c r="B48" s="561"/>
      <c r="C48" s="561"/>
      <c r="D48" s="561"/>
      <c r="E48" s="561"/>
      <c r="F48" s="561"/>
      <c r="G48" s="561"/>
      <c r="H48" s="561"/>
      <c r="I48" s="561"/>
      <c r="J48" s="561"/>
    </row>
    <row r="49" spans="1:10">
      <c r="B49" s="561"/>
      <c r="C49" s="561"/>
      <c r="D49" s="561"/>
      <c r="E49" s="561"/>
      <c r="F49" s="561"/>
      <c r="G49" s="561"/>
      <c r="H49" s="561"/>
      <c r="I49" s="561"/>
      <c r="J49" s="561"/>
    </row>
    <row r="50" spans="1:10" ht="25.9" customHeight="1">
      <c r="B50" s="561"/>
      <c r="C50" s="561"/>
      <c r="D50" s="561"/>
      <c r="E50" s="561"/>
      <c r="F50" s="561"/>
      <c r="G50" s="561"/>
      <c r="H50" s="561"/>
      <c r="I50" s="561"/>
      <c r="J50" s="561"/>
    </row>
    <row r="51" spans="1:10">
      <c r="B51" s="93"/>
      <c r="C51" s="93"/>
      <c r="D51" s="93"/>
      <c r="E51" s="93"/>
      <c r="F51" s="93"/>
      <c r="G51" s="93"/>
      <c r="H51" s="93"/>
      <c r="I51" s="93"/>
      <c r="J51" s="93"/>
    </row>
    <row r="52" spans="1:10">
      <c r="A52" s="305" t="s">
        <v>153</v>
      </c>
      <c r="B52" s="57" t="s">
        <v>154</v>
      </c>
      <c r="E52" s="94"/>
      <c r="F52" s="94"/>
      <c r="G52" s="95"/>
      <c r="H52" s="95"/>
      <c r="I52" s="95"/>
      <c r="J52" s="95"/>
    </row>
    <row r="53" spans="1:10">
      <c r="A53" s="305"/>
      <c r="B53" s="547" t="s">
        <v>155</v>
      </c>
      <c r="C53" s="547"/>
      <c r="D53" s="547"/>
      <c r="E53" s="547"/>
      <c r="F53" s="547"/>
      <c r="G53" s="547"/>
      <c r="H53" s="547"/>
      <c r="I53" s="547"/>
      <c r="J53" s="547"/>
    </row>
    <row r="54" spans="1:10">
      <c r="A54" s="305"/>
      <c r="B54" s="547"/>
      <c r="C54" s="547"/>
      <c r="D54" s="547"/>
      <c r="E54" s="547"/>
      <c r="F54" s="547"/>
      <c r="G54" s="547"/>
      <c r="H54" s="547"/>
      <c r="I54" s="547"/>
      <c r="J54" s="547"/>
    </row>
    <row r="55" spans="1:10">
      <c r="A55" s="306"/>
      <c r="B55" s="57"/>
      <c r="H55" s="92"/>
      <c r="J55" s="57"/>
    </row>
    <row r="56" spans="1:10">
      <c r="A56" s="306"/>
      <c r="H56" s="92"/>
      <c r="J56" s="57"/>
    </row>
    <row r="57" spans="1:10">
      <c r="A57" s="306"/>
      <c r="H57" s="454"/>
      <c r="J57" s="455"/>
    </row>
    <row r="58" spans="1:10">
      <c r="A58" s="306"/>
      <c r="H58" s="96"/>
      <c r="J58" s="455"/>
    </row>
    <row r="59" spans="1:10">
      <c r="A59" s="306"/>
      <c r="H59" s="92"/>
      <c r="J59" s="57"/>
    </row>
  </sheetData>
  <mergeCells count="7">
    <mergeCell ref="B53:J54"/>
    <mergeCell ref="A1:J1"/>
    <mergeCell ref="A2:J2"/>
    <mergeCell ref="A3:J3"/>
    <mergeCell ref="B7:J10"/>
    <mergeCell ref="B36:J38"/>
    <mergeCell ref="B46:J50"/>
  </mergeCells>
  <printOptions horizontalCentered="1"/>
  <pageMargins left="0.7" right="0.7" top="0.75" bottom="0.75" header="0.3" footer="0.3"/>
  <pageSetup paperSize="9" orientation="portrait" r:id="rId1"/>
  <headerFooter>
    <oddFooter>&amp;C11</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E9650-3E28-4530-BCED-F5C9243AF835}">
  <dimension ref="A1:R66"/>
  <sheetViews>
    <sheetView zoomScaleNormal="100" zoomScalePageLayoutView="94" workbookViewId="0">
      <selection activeCell="H19" sqref="H19"/>
    </sheetView>
  </sheetViews>
  <sheetFormatPr defaultColWidth="9.1796875" defaultRowHeight="14.5"/>
  <cols>
    <col min="1" max="1" width="4.453125" style="306" customWidth="1"/>
    <col min="2" max="2" width="18.7265625" style="408" customWidth="1"/>
    <col min="3" max="3" width="9.81640625" style="408" customWidth="1"/>
    <col min="4" max="4" width="10.54296875" style="409" bestFit="1" customWidth="1"/>
    <col min="5" max="5" width="1.1796875" style="309" customWidth="1"/>
    <col min="6" max="6" width="13.54296875" style="309" bestFit="1" customWidth="1"/>
    <col min="7" max="7" width="1" style="309" customWidth="1"/>
    <col min="8" max="8" width="15.7265625" style="309" bestFit="1" customWidth="1"/>
    <col min="9" max="9" width="1.26953125" style="309" customWidth="1"/>
    <col min="10" max="10" width="15.7265625" style="309" bestFit="1" customWidth="1"/>
    <col min="11" max="11" width="1.453125" style="309" customWidth="1"/>
    <col min="12" max="12" width="9.1796875" style="309"/>
    <col min="13" max="13" width="13.6328125" style="309" bestFit="1" customWidth="1"/>
    <col min="14" max="14" width="13.26953125" style="309" bestFit="1" customWidth="1"/>
    <col min="15" max="15" width="11.7265625" style="309" bestFit="1" customWidth="1"/>
    <col min="16" max="16" width="13.7265625" style="309" bestFit="1" customWidth="1"/>
    <col min="17" max="17" width="14.26953125" style="309" bestFit="1" customWidth="1"/>
    <col min="18" max="18" width="11.54296875" style="309" bestFit="1" customWidth="1"/>
    <col min="19" max="16384" width="9.1796875" style="309"/>
  </cols>
  <sheetData>
    <row r="1" spans="1:17" ht="15.5">
      <c r="A1" s="542" t="str">
        <f>+SCF!A1</f>
        <v>MES CONTRACTING AND TRADING LTD</v>
      </c>
      <c r="B1" s="542"/>
      <c r="C1" s="542"/>
      <c r="D1" s="542"/>
      <c r="E1" s="542"/>
      <c r="F1" s="542"/>
      <c r="G1" s="542"/>
      <c r="H1" s="542"/>
      <c r="I1" s="542"/>
      <c r="J1" s="542"/>
      <c r="K1" s="542"/>
    </row>
    <row r="2" spans="1:17">
      <c r="A2" s="543" t="s">
        <v>132</v>
      </c>
      <c r="B2" s="543"/>
      <c r="C2" s="543"/>
      <c r="D2" s="543"/>
      <c r="E2" s="543"/>
      <c r="F2" s="543"/>
      <c r="G2" s="543"/>
      <c r="H2" s="543"/>
      <c r="I2" s="543"/>
      <c r="J2" s="543"/>
      <c r="K2" s="543"/>
    </row>
    <row r="3" spans="1:17">
      <c r="A3" s="543" t="str">
        <f>+SCF!A3</f>
        <v>FOR THE YEAR ENDED 31 DECEMBER 2023</v>
      </c>
      <c r="B3" s="543"/>
      <c r="C3" s="543"/>
      <c r="D3" s="543"/>
      <c r="E3" s="543"/>
      <c r="F3" s="543"/>
      <c r="G3" s="543"/>
      <c r="H3" s="543"/>
      <c r="I3" s="543"/>
      <c r="J3" s="543"/>
      <c r="K3" s="543"/>
    </row>
    <row r="4" spans="1:17" ht="6.75" customHeight="1">
      <c r="F4" s="57"/>
      <c r="G4" s="410"/>
      <c r="I4" s="305"/>
      <c r="J4" s="305"/>
      <c r="K4" s="32"/>
    </row>
    <row r="5" spans="1:17">
      <c r="D5" s="305"/>
      <c r="E5" s="32"/>
      <c r="F5" s="32"/>
      <c r="G5" s="32"/>
      <c r="H5" s="92">
        <f>+SCF!F5</f>
        <v>2023</v>
      </c>
      <c r="I5" s="92">
        <f>+SCF!G5</f>
        <v>0</v>
      </c>
      <c r="J5" s="97">
        <f>+SCF!H5</f>
        <v>2022</v>
      </c>
      <c r="Q5" s="92"/>
    </row>
    <row r="6" spans="1:17" ht="4.5" customHeight="1">
      <c r="A6" s="65"/>
      <c r="B6" s="68"/>
      <c r="C6" s="68"/>
      <c r="D6" s="305"/>
      <c r="E6" s="32"/>
      <c r="F6" s="32"/>
      <c r="G6" s="32"/>
      <c r="H6" s="92"/>
      <c r="I6" s="32"/>
      <c r="J6" s="92"/>
      <c r="Q6" s="97"/>
    </row>
    <row r="7" spans="1:17">
      <c r="A7" s="65"/>
      <c r="B7" s="68"/>
      <c r="C7" s="68"/>
      <c r="D7" s="305"/>
      <c r="E7" s="32"/>
      <c r="F7" s="32"/>
      <c r="G7" s="32"/>
      <c r="H7" s="92" t="s">
        <v>34</v>
      </c>
      <c r="I7" s="32"/>
      <c r="J7" s="97" t="s">
        <v>34</v>
      </c>
      <c r="Q7" s="92"/>
    </row>
    <row r="8" spans="1:17">
      <c r="A8" s="65">
        <v>3</v>
      </c>
      <c r="B8" s="68" t="s">
        <v>156</v>
      </c>
      <c r="C8" s="68"/>
      <c r="D8" s="305"/>
      <c r="E8" s="32"/>
      <c r="F8" s="32"/>
      <c r="G8" s="32"/>
      <c r="H8" s="32"/>
      <c r="I8" s="32"/>
      <c r="J8" s="32"/>
      <c r="Q8" s="97"/>
    </row>
    <row r="9" spans="1:17" ht="4.1500000000000004" customHeight="1">
      <c r="A9" s="65"/>
      <c r="B9" s="68"/>
      <c r="C9" s="68"/>
      <c r="D9" s="305"/>
      <c r="E9" s="32"/>
      <c r="F9" s="32"/>
      <c r="G9" s="32"/>
      <c r="H9" s="32"/>
      <c r="I9" s="32"/>
      <c r="J9" s="32"/>
      <c r="Q9" s="97"/>
    </row>
    <row r="10" spans="1:17" ht="18.649999999999999" customHeight="1">
      <c r="B10" s="98" t="s">
        <v>491</v>
      </c>
      <c r="C10" s="98"/>
      <c r="D10" s="305"/>
      <c r="E10" s="32"/>
      <c r="F10" s="32"/>
      <c r="G10" s="32"/>
      <c r="H10" s="99">
        <v>18238665.580159433</v>
      </c>
      <c r="I10" s="32"/>
      <c r="J10" s="100">
        <v>3817773.16</v>
      </c>
      <c r="M10" s="309">
        <f>H10*0.15</f>
        <v>2735799.8370239148</v>
      </c>
      <c r="Q10" s="101"/>
    </row>
    <row r="11" spans="1:17">
      <c r="B11" s="98"/>
      <c r="C11" s="98"/>
      <c r="D11" s="305"/>
      <c r="E11" s="32"/>
      <c r="F11" s="32"/>
      <c r="G11" s="32"/>
      <c r="H11" s="99"/>
      <c r="I11" s="32"/>
      <c r="J11" s="100"/>
      <c r="M11" s="438">
        <f>H19*0.15</f>
        <v>3054534.209608695</v>
      </c>
      <c r="Q11" s="101"/>
    </row>
    <row r="12" spans="1:17" ht="3" customHeight="1">
      <c r="B12" s="98"/>
      <c r="C12" s="98"/>
      <c r="D12" s="305"/>
      <c r="E12" s="32"/>
      <c r="F12" s="32"/>
      <c r="G12" s="32"/>
      <c r="H12" s="102"/>
      <c r="I12" s="32"/>
      <c r="J12" s="103"/>
      <c r="Q12" s="101"/>
    </row>
    <row r="13" spans="1:17">
      <c r="B13" s="32"/>
      <c r="C13" s="32"/>
      <c r="D13" s="305"/>
      <c r="E13" s="32"/>
      <c r="F13" s="32"/>
      <c r="G13" s="32"/>
      <c r="H13" s="104">
        <f>SUM(H10:H11)</f>
        <v>18238665.580159433</v>
      </c>
      <c r="I13" s="32"/>
      <c r="J13" s="105">
        <f>SUM(J10:J11)</f>
        <v>3817773.16</v>
      </c>
      <c r="M13" s="438">
        <f>M11-M10</f>
        <v>318734.37258478021</v>
      </c>
      <c r="Q13" s="106"/>
    </row>
    <row r="14" spans="1:17" ht="7.9" customHeight="1" thickBot="1">
      <c r="B14" s="32"/>
      <c r="C14" s="32"/>
      <c r="D14" s="305"/>
      <c r="E14" s="32"/>
      <c r="F14" s="32"/>
      <c r="G14" s="32"/>
      <c r="H14" s="107"/>
      <c r="I14" s="32"/>
      <c r="J14" s="108"/>
      <c r="Q14" s="106"/>
    </row>
    <row r="15" spans="1:17" ht="15" thickTop="1">
      <c r="B15" s="309"/>
      <c r="C15" s="309"/>
      <c r="H15" s="411"/>
      <c r="J15" s="411"/>
      <c r="Q15" s="412"/>
    </row>
    <row r="16" spans="1:17" ht="6.75" customHeight="1">
      <c r="B16" s="309"/>
      <c r="C16" s="309"/>
      <c r="H16" s="411"/>
      <c r="J16" s="411"/>
      <c r="Q16" s="412"/>
    </row>
    <row r="17" spans="1:17">
      <c r="A17" s="65">
        <v>4</v>
      </c>
      <c r="B17" s="109" t="s">
        <v>157</v>
      </c>
      <c r="C17" s="309"/>
      <c r="H17" s="411"/>
      <c r="J17" s="411"/>
      <c r="Q17" s="412"/>
    </row>
    <row r="18" spans="1:17" ht="15.5">
      <c r="B18" s="242" t="s">
        <v>387</v>
      </c>
      <c r="C18" s="309"/>
      <c r="H18" s="432">
        <f>J31</f>
        <v>1320700</v>
      </c>
      <c r="I18" s="413"/>
      <c r="J18" s="413">
        <v>0</v>
      </c>
      <c r="Q18" s="412"/>
    </row>
    <row r="19" spans="1:17" s="242" customFormat="1" ht="15.5">
      <c r="B19" s="242" t="s">
        <v>524</v>
      </c>
      <c r="E19" s="270">
        <v>901063</v>
      </c>
      <c r="F19" s="244"/>
      <c r="H19" s="270">
        <f>'N17-21'!F15</f>
        <v>20363561.397391301</v>
      </c>
      <c r="I19" s="244"/>
      <c r="J19" s="244">
        <f>'N17-21'!H15</f>
        <v>4126083</v>
      </c>
      <c r="M19" s="524"/>
    </row>
    <row r="20" spans="1:17" s="242" customFormat="1" ht="15.5" hidden="1">
      <c r="B20" s="242" t="s">
        <v>492</v>
      </c>
      <c r="E20" s="270">
        <v>41420864.390000001</v>
      </c>
      <c r="F20" s="244"/>
      <c r="I20" s="244"/>
      <c r="J20" s="244"/>
      <c r="M20" s="524"/>
    </row>
    <row r="21" spans="1:17" s="242" customFormat="1" ht="15.5">
      <c r="B21" s="242" t="s">
        <v>493</v>
      </c>
      <c r="E21" s="270">
        <v>84640.2</v>
      </c>
      <c r="F21" s="244"/>
      <c r="H21" s="270">
        <v>1285380.01</v>
      </c>
      <c r="I21" s="244"/>
      <c r="J21" s="244">
        <f>'[1]N2,3'!$G$23</f>
        <v>527900</v>
      </c>
    </row>
    <row r="22" spans="1:17" s="242" customFormat="1" ht="16.5" customHeight="1">
      <c r="E22" s="270"/>
      <c r="F22" s="244"/>
      <c r="H22" s="270"/>
      <c r="I22" s="244"/>
      <c r="J22" s="244"/>
      <c r="N22" s="270"/>
    </row>
    <row r="23" spans="1:17" s="242" customFormat="1" ht="15.5" hidden="1">
      <c r="E23" s="270">
        <v>0</v>
      </c>
      <c r="F23" s="244"/>
      <c r="H23" s="270"/>
      <c r="I23" s="244"/>
      <c r="J23" s="244"/>
    </row>
    <row r="24" spans="1:17" s="242" customFormat="1" ht="15.5" hidden="1">
      <c r="E24" s="270">
        <v>348079.79</v>
      </c>
      <c r="F24" s="244"/>
      <c r="H24" s="270"/>
      <c r="I24" s="244"/>
      <c r="J24" s="244"/>
    </row>
    <row r="25" spans="1:17" s="242" customFormat="1" ht="15.5" hidden="1">
      <c r="E25" s="270">
        <v>38792</v>
      </c>
      <c r="F25" s="244"/>
      <c r="H25" s="270"/>
      <c r="I25" s="244"/>
      <c r="J25" s="244"/>
    </row>
    <row r="26" spans="1:17" s="242" customFormat="1" ht="15.5" hidden="1">
      <c r="E26" s="270">
        <v>929.63</v>
      </c>
      <c r="F26" s="244"/>
      <c r="H26" s="270"/>
      <c r="I26" s="244"/>
      <c r="J26" s="244"/>
    </row>
    <row r="27" spans="1:17" s="242" customFormat="1" ht="15.5">
      <c r="E27" s="270">
        <v>1060</v>
      </c>
      <c r="F27" s="244"/>
      <c r="H27" s="270"/>
      <c r="I27" s="244"/>
      <c r="J27" s="244"/>
    </row>
    <row r="28" spans="1:17" s="242" customFormat="1" ht="18.5">
      <c r="E28" s="414">
        <v>1049.4000000000001</v>
      </c>
      <c r="F28" s="415"/>
      <c r="H28" s="270"/>
      <c r="I28" s="244"/>
      <c r="J28" s="244"/>
    </row>
    <row r="29" spans="1:17" s="242" customFormat="1" ht="15.5">
      <c r="E29" s="270">
        <f>SUM(E19:E28)</f>
        <v>42796478.410000004</v>
      </c>
      <c r="F29" s="244"/>
      <c r="H29" s="416">
        <f>SUM(H18:H28)</f>
        <v>22969641.407391302</v>
      </c>
      <c r="I29" s="417"/>
      <c r="J29" s="417">
        <f>SUM(J18:J28)</f>
        <v>4653983</v>
      </c>
    </row>
    <row r="30" spans="1:17" s="242" customFormat="1" ht="9" customHeight="1">
      <c r="E30" s="270"/>
      <c r="F30" s="244"/>
      <c r="H30" s="270"/>
      <c r="I30" s="244"/>
      <c r="J30" s="244"/>
    </row>
    <row r="31" spans="1:17" s="242" customFormat="1" ht="18.5">
      <c r="B31" s="242" t="s">
        <v>402</v>
      </c>
      <c r="E31" s="414">
        <v>7087177.8600000003</v>
      </c>
      <c r="F31" s="415"/>
      <c r="H31" s="270">
        <v>6609000</v>
      </c>
      <c r="I31" s="244"/>
      <c r="J31" s="244">
        <v>1320700</v>
      </c>
      <c r="M31" s="524"/>
    </row>
    <row r="32" spans="1:17" s="242" customFormat="1" ht="11.25" customHeight="1">
      <c r="E32" s="414"/>
      <c r="F32" s="415"/>
      <c r="H32" s="270"/>
      <c r="I32" s="244"/>
      <c r="J32" s="244"/>
    </row>
    <row r="33" spans="1:17" s="242" customFormat="1" ht="17">
      <c r="B33" s="236" t="s">
        <v>71</v>
      </c>
      <c r="E33" s="418">
        <f>SUM(E29-E31)</f>
        <v>35709300.550000004</v>
      </c>
      <c r="F33" s="419"/>
      <c r="H33" s="270">
        <f>H29-H31</f>
        <v>16360641.407391302</v>
      </c>
      <c r="I33" s="244"/>
      <c r="J33" s="244">
        <f>J29-J31</f>
        <v>3333283</v>
      </c>
    </row>
    <row r="34" spans="1:17" ht="15" thickBot="1">
      <c r="B34" s="309"/>
      <c r="C34" s="309"/>
      <c r="H34" s="420"/>
      <c r="I34" s="421"/>
      <c r="J34" s="421"/>
      <c r="Q34" s="412"/>
    </row>
    <row r="35" spans="1:17" ht="6" customHeight="1" thickTop="1">
      <c r="B35" s="309"/>
      <c r="C35" s="309"/>
      <c r="H35" s="422"/>
      <c r="I35" s="423"/>
      <c r="J35" s="423"/>
      <c r="Q35" s="412"/>
    </row>
    <row r="36" spans="1:17" ht="4.5" customHeight="1">
      <c r="B36" s="32"/>
      <c r="C36" s="32"/>
      <c r="D36" s="305"/>
      <c r="E36" s="32"/>
      <c r="F36" s="57"/>
      <c r="G36" s="410"/>
      <c r="H36" s="424"/>
      <c r="I36" s="67"/>
      <c r="J36" s="425"/>
      <c r="Q36" s="412"/>
    </row>
    <row r="37" spans="1:17" s="431" customFormat="1">
      <c r="A37" s="426">
        <v>3.1</v>
      </c>
      <c r="B37" s="427" t="s">
        <v>264</v>
      </c>
      <c r="C37" s="428"/>
      <c r="D37" s="429"/>
      <c r="E37" s="430"/>
      <c r="H37" s="432"/>
    </row>
    <row r="38" spans="1:17" s="431" customFormat="1" ht="15.5">
      <c r="A38" s="426"/>
      <c r="B38" s="242" t="s">
        <v>514</v>
      </c>
      <c r="C38" s="428"/>
      <c r="D38" s="429"/>
      <c r="E38" s="430"/>
      <c r="H38" s="432">
        <v>0</v>
      </c>
      <c r="J38" s="431">
        <v>0</v>
      </c>
      <c r="P38" s="370"/>
    </row>
    <row r="39" spans="1:17" s="431" customFormat="1" ht="15.5">
      <c r="A39" s="426"/>
      <c r="B39" s="242" t="s">
        <v>407</v>
      </c>
      <c r="C39" s="428"/>
      <c r="D39" s="429"/>
      <c r="E39" s="430"/>
      <c r="H39" s="432">
        <v>0</v>
      </c>
      <c r="J39" s="431">
        <v>0</v>
      </c>
    </row>
    <row r="40" spans="1:17" s="431" customFormat="1" ht="16" thickBot="1">
      <c r="A40" s="426"/>
      <c r="B40" s="242"/>
      <c r="C40" s="428"/>
      <c r="D40" s="429"/>
      <c r="E40" s="430"/>
      <c r="H40" s="433">
        <f>SUM(H38:H39)</f>
        <v>0</v>
      </c>
      <c r="J40" s="434">
        <f>SUM(J38:J39)</f>
        <v>0</v>
      </c>
    </row>
    <row r="41" spans="1:17" ht="1.5" customHeight="1" thickTop="1">
      <c r="B41" s="32"/>
      <c r="C41" s="32"/>
      <c r="D41" s="305"/>
      <c r="E41" s="32"/>
      <c r="F41" s="57"/>
      <c r="G41" s="410"/>
      <c r="H41" s="426"/>
      <c r="I41" s="120"/>
      <c r="J41" s="435"/>
      <c r="Q41" s="412"/>
    </row>
    <row r="42" spans="1:17">
      <c r="A42" s="65">
        <v>5</v>
      </c>
      <c r="B42" s="68" t="s">
        <v>158</v>
      </c>
      <c r="C42" s="68"/>
      <c r="D42" s="305"/>
      <c r="E42" s="32"/>
      <c r="F42" s="32"/>
      <c r="G42" s="306"/>
      <c r="H42" s="422"/>
      <c r="I42" s="423"/>
      <c r="J42" s="423"/>
      <c r="Q42" s="97"/>
    </row>
    <row r="43" spans="1:17">
      <c r="A43" s="65" t="s">
        <v>159</v>
      </c>
      <c r="B43" s="57" t="s">
        <v>160</v>
      </c>
      <c r="C43" s="57"/>
      <c r="D43" s="305"/>
      <c r="E43" s="32"/>
      <c r="F43" s="32"/>
      <c r="G43" s="424"/>
      <c r="H43" s="424"/>
      <c r="I43" s="158"/>
      <c r="J43" s="425"/>
      <c r="Q43" s="106"/>
    </row>
    <row r="44" spans="1:17">
      <c r="B44" s="32" t="s">
        <v>161</v>
      </c>
      <c r="C44" s="32"/>
      <c r="D44" s="305"/>
      <c r="E44" s="32"/>
      <c r="F44" s="32"/>
      <c r="G44" s="306"/>
      <c r="H44" s="436">
        <f>'Capital Allowance'!E39</f>
        <v>95575.628192032746</v>
      </c>
      <c r="J44" s="436">
        <f>SPnL!F29</f>
        <v>-293462.60504400072</v>
      </c>
      <c r="Q44" s="106"/>
    </row>
    <row r="45" spans="1:17" ht="4.5" customHeight="1" thickBot="1">
      <c r="H45" s="404"/>
      <c r="J45" s="405"/>
      <c r="Q45" s="412"/>
    </row>
    <row r="46" spans="1:17" ht="6.75" customHeight="1" thickTop="1">
      <c r="B46" s="32"/>
      <c r="H46" s="437"/>
      <c r="Q46" s="47"/>
    </row>
    <row r="47" spans="1:17" ht="6.75" customHeight="1">
      <c r="H47" s="99"/>
      <c r="J47" s="100"/>
      <c r="Q47" s="47"/>
    </row>
    <row r="48" spans="1:17" ht="6" customHeight="1">
      <c r="H48" s="32"/>
      <c r="I48" s="32"/>
      <c r="J48" s="32"/>
      <c r="Q48" s="47"/>
    </row>
    <row r="49" spans="1:18">
      <c r="A49" s="65" t="s">
        <v>162</v>
      </c>
      <c r="B49" s="68" t="s">
        <v>163</v>
      </c>
      <c r="C49" s="68"/>
      <c r="D49" s="305"/>
      <c r="E49" s="32"/>
      <c r="F49" s="32"/>
      <c r="G49" s="32"/>
      <c r="H49" s="32"/>
      <c r="I49" s="32"/>
      <c r="J49" s="32"/>
      <c r="K49" s="32"/>
    </row>
    <row r="50" spans="1:18" ht="9" customHeight="1">
      <c r="B50" s="294"/>
      <c r="C50" s="294"/>
      <c r="D50" s="305"/>
      <c r="E50" s="32"/>
      <c r="F50" s="32"/>
      <c r="G50" s="32"/>
      <c r="I50" s="92"/>
      <c r="K50" s="32"/>
    </row>
    <row r="51" spans="1:18">
      <c r="B51" s="68" t="s">
        <v>164</v>
      </c>
      <c r="C51" s="68"/>
      <c r="D51" s="306" t="s">
        <v>165</v>
      </c>
      <c r="E51" s="92"/>
      <c r="F51" s="92" t="s">
        <v>166</v>
      </c>
      <c r="G51" s="57"/>
      <c r="H51" s="92" t="s">
        <v>167</v>
      </c>
      <c r="I51" s="92"/>
      <c r="J51" s="92" t="s">
        <v>165</v>
      </c>
      <c r="K51" s="57"/>
      <c r="O51" s="438"/>
    </row>
    <row r="52" spans="1:18" ht="15.5">
      <c r="B52" s="68" t="s">
        <v>168</v>
      </c>
      <c r="C52" s="68"/>
      <c r="D52" s="306" t="s">
        <v>169</v>
      </c>
      <c r="E52" s="92"/>
      <c r="F52" s="92" t="s">
        <v>170</v>
      </c>
      <c r="G52" s="57"/>
      <c r="H52" s="92" t="s">
        <v>171</v>
      </c>
      <c r="I52" s="32"/>
      <c r="J52" s="92" t="s">
        <v>172</v>
      </c>
      <c r="K52" s="57"/>
      <c r="Q52" s="370"/>
      <c r="R52" s="438"/>
    </row>
    <row r="53" spans="1:18" ht="9" customHeight="1">
      <c r="B53" s="294"/>
      <c r="C53" s="294"/>
      <c r="D53" s="305"/>
      <c r="E53" s="32"/>
      <c r="F53" s="32"/>
      <c r="G53" s="32"/>
      <c r="I53" s="120"/>
      <c r="K53" s="32"/>
    </row>
    <row r="54" spans="1:18">
      <c r="B54" s="68">
        <v>2021</v>
      </c>
      <c r="C54" s="68"/>
      <c r="D54" s="390">
        <v>0</v>
      </c>
      <c r="E54" s="101"/>
      <c r="F54" s="110">
        <v>0</v>
      </c>
      <c r="G54" s="120"/>
      <c r="H54" s="110"/>
      <c r="I54" s="120"/>
      <c r="J54" s="375">
        <f>SUM(D54:I54)</f>
        <v>0</v>
      </c>
      <c r="K54" s="32"/>
      <c r="L54" s="413"/>
      <c r="N54" s="423"/>
    </row>
    <row r="55" spans="1:18">
      <c r="B55" s="68">
        <v>2023</v>
      </c>
      <c r="C55" s="68"/>
      <c r="D55" s="110">
        <f>SFP!I18</f>
        <v>67270.936950000207</v>
      </c>
      <c r="E55" s="101"/>
      <c r="F55" s="110">
        <f>H44</f>
        <v>95575.628192032746</v>
      </c>
      <c r="G55" s="120"/>
      <c r="H55" s="120">
        <f>'Capital Allowance'!E46</f>
        <v>661884.82900000003</v>
      </c>
      <c r="I55" s="120"/>
      <c r="J55" s="375">
        <f>D55+F55-H55</f>
        <v>-499038.2638579671</v>
      </c>
      <c r="K55" s="32"/>
      <c r="L55" s="413"/>
      <c r="N55" s="423"/>
    </row>
    <row r="56" spans="1:18" ht="7.5" customHeight="1">
      <c r="B56" s="309"/>
      <c r="C56" s="309"/>
      <c r="D56" s="439"/>
      <c r="E56" s="101"/>
      <c r="F56" s="411"/>
      <c r="G56" s="120"/>
      <c r="I56" s="440"/>
      <c r="J56" s="441"/>
      <c r="K56" s="32"/>
    </row>
    <row r="57" spans="1:18" ht="4.5" customHeight="1">
      <c r="B57" s="68"/>
      <c r="C57" s="68"/>
      <c r="D57" s="442"/>
      <c r="E57" s="381"/>
      <c r="F57" s="443"/>
      <c r="G57" s="440"/>
      <c r="H57" s="444"/>
      <c r="I57" s="66">
        <f>SUM(I53:I54)</f>
        <v>0</v>
      </c>
      <c r="J57" s="445"/>
      <c r="K57" s="32"/>
    </row>
    <row r="58" spans="1:18" s="437" customFormat="1">
      <c r="A58" s="306"/>
      <c r="B58" s="68"/>
      <c r="C58" s="68"/>
      <c r="D58" s="507">
        <v>0</v>
      </c>
      <c r="E58" s="66"/>
      <c r="F58" s="326">
        <f>SUM(F55:F56)</f>
        <v>95575.628192032746</v>
      </c>
      <c r="G58" s="66">
        <f>SUM(G54:G56)</f>
        <v>0</v>
      </c>
      <c r="H58" s="326">
        <f>SUM(H55:H56)</f>
        <v>661884.82900000003</v>
      </c>
      <c r="I58" s="32"/>
      <c r="J58" s="446">
        <f>SUM(J54:J56)</f>
        <v>-499038.2638579671</v>
      </c>
      <c r="K58" s="66"/>
      <c r="M58" s="509"/>
    </row>
    <row r="59" spans="1:18" ht="5.25" customHeight="1" thickBot="1">
      <c r="B59" s="294"/>
      <c r="C59" s="294"/>
      <c r="D59" s="447"/>
      <c r="E59" s="32"/>
      <c r="F59" s="148"/>
      <c r="G59" s="32"/>
      <c r="H59" s="148"/>
      <c r="I59" s="32"/>
      <c r="J59" s="448"/>
      <c r="K59" s="32"/>
    </row>
    <row r="60" spans="1:18" ht="5.25" customHeight="1" thickTop="1">
      <c r="B60" s="294"/>
      <c r="C60" s="294"/>
      <c r="D60" s="449"/>
      <c r="E60" s="32"/>
      <c r="F60" s="32"/>
      <c r="G60" s="32"/>
      <c r="H60" s="32"/>
      <c r="I60" s="426"/>
      <c r="J60" s="426"/>
      <c r="K60" s="32"/>
      <c r="O60" s="450"/>
      <c r="Q60" s="451"/>
    </row>
    <row r="61" spans="1:18" s="431" customFormat="1">
      <c r="A61" s="426"/>
      <c r="B61" s="93" t="s">
        <v>173</v>
      </c>
      <c r="C61" s="93"/>
      <c r="D61" s="435"/>
      <c r="E61" s="440"/>
      <c r="F61" s="120"/>
      <c r="G61" s="326"/>
      <c r="H61" s="426"/>
      <c r="I61" s="426"/>
      <c r="J61" s="426"/>
      <c r="K61" s="426"/>
    </row>
    <row r="62" spans="1:18" s="431" customFormat="1">
      <c r="A62" s="426"/>
      <c r="B62" s="452"/>
      <c r="C62" s="452"/>
      <c r="D62" s="426"/>
      <c r="E62" s="453"/>
      <c r="F62" s="120"/>
      <c r="G62" s="326"/>
      <c r="K62" s="426"/>
    </row>
    <row r="63" spans="1:18" s="431" customFormat="1">
      <c r="A63" s="426"/>
      <c r="B63" s="428"/>
      <c r="C63" s="428"/>
      <c r="D63" s="429"/>
      <c r="E63" s="430"/>
    </row>
    <row r="66" spans="16:16" ht="15.5">
      <c r="P66" s="370"/>
    </row>
  </sheetData>
  <mergeCells count="3">
    <mergeCell ref="A1:K1"/>
    <mergeCell ref="A2:K2"/>
    <mergeCell ref="A3:K3"/>
  </mergeCells>
  <pageMargins left="0.7" right="0" top="0.66489361702127658" bottom="0.75" header="0.3" footer="0.3"/>
  <pageSetup paperSize="9" orientation="portrait" r:id="rId1"/>
  <headerFooter>
    <oddFooter>&amp;C12</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879DE-1D93-4A81-8BBB-0C7124423352}">
  <dimension ref="A1:L66"/>
  <sheetViews>
    <sheetView topLeftCell="A22" zoomScaleNormal="100" workbookViewId="0">
      <selection activeCell="A53" sqref="A53:XFD53"/>
    </sheetView>
  </sheetViews>
  <sheetFormatPr defaultColWidth="8.7265625" defaultRowHeight="14.5"/>
  <cols>
    <col min="1" max="1" width="4.7265625" style="409" customWidth="1"/>
    <col min="2" max="2" width="12.26953125" style="309" bestFit="1" customWidth="1"/>
    <col min="3" max="3" width="8.7265625" style="309"/>
    <col min="4" max="4" width="14" style="309" bestFit="1" customWidth="1"/>
    <col min="5" max="5" width="3.453125" style="309" customWidth="1"/>
    <col min="6" max="6" width="13.1796875" style="431" bestFit="1" customWidth="1"/>
    <col min="7" max="7" width="1.453125" style="309" customWidth="1"/>
    <col min="8" max="8" width="12.54296875" style="309" customWidth="1"/>
    <col min="9" max="9" width="1.26953125" style="309" customWidth="1"/>
    <col min="10" max="10" width="12" style="309" hidden="1" customWidth="1"/>
    <col min="11" max="11" width="1.1796875" style="309" hidden="1" customWidth="1"/>
    <col min="12" max="12" width="14.36328125" style="432" customWidth="1"/>
    <col min="13" max="16384" width="8.7265625" style="309"/>
  </cols>
  <sheetData>
    <row r="1" spans="1:12" ht="15.5">
      <c r="A1" s="562" t="str">
        <f>+SCF!A1</f>
        <v>MES CONTRACTING AND TRADING LTD</v>
      </c>
      <c r="B1" s="562"/>
      <c r="C1" s="562"/>
      <c r="D1" s="562"/>
      <c r="E1" s="562"/>
      <c r="F1" s="562"/>
      <c r="G1" s="562"/>
      <c r="H1" s="562"/>
      <c r="I1" s="562"/>
      <c r="J1" s="562"/>
      <c r="K1" s="562"/>
      <c r="L1" s="562"/>
    </row>
    <row r="2" spans="1:12" ht="15.5">
      <c r="A2" s="563" t="str">
        <f>+'[2]notes 1a'!A2:J2</f>
        <v>NOTES TO THE FINANCIAL STATEMENTS</v>
      </c>
      <c r="B2" s="563"/>
      <c r="C2" s="563"/>
      <c r="D2" s="563"/>
      <c r="E2" s="563"/>
      <c r="F2" s="563"/>
      <c r="G2" s="563"/>
      <c r="H2" s="563"/>
      <c r="I2" s="563"/>
      <c r="J2" s="563"/>
      <c r="K2" s="563"/>
      <c r="L2" s="563"/>
    </row>
    <row r="3" spans="1:12" ht="15.5">
      <c r="A3" s="562" t="str">
        <f>+'P &amp; L'!A3:H3</f>
        <v>FOR THE YEAR ENDED 31 DECEMBER 2023</v>
      </c>
      <c r="B3" s="562"/>
      <c r="C3" s="562"/>
      <c r="D3" s="562"/>
      <c r="E3" s="562"/>
      <c r="F3" s="562"/>
      <c r="G3" s="562"/>
      <c r="H3" s="562"/>
      <c r="I3" s="562"/>
      <c r="J3" s="562"/>
      <c r="K3" s="562"/>
      <c r="L3" s="562"/>
    </row>
    <row r="5" spans="1:12">
      <c r="A5" s="306" t="s">
        <v>174</v>
      </c>
      <c r="B5" s="57" t="s">
        <v>175</v>
      </c>
      <c r="C5" s="32"/>
      <c r="D5" s="32"/>
      <c r="E5" s="32"/>
      <c r="F5" s="120"/>
      <c r="G5" s="32"/>
      <c r="H5" s="32"/>
      <c r="I5" s="32"/>
      <c r="J5" s="32"/>
      <c r="K5" s="32"/>
      <c r="L5" s="326"/>
    </row>
    <row r="6" spans="1:12">
      <c r="A6" s="305"/>
      <c r="B6" s="32"/>
      <c r="C6" s="32"/>
      <c r="D6" s="32"/>
      <c r="E6" s="32"/>
      <c r="F6" s="120"/>
      <c r="G6" s="32"/>
      <c r="H6" s="32"/>
      <c r="I6" s="32"/>
      <c r="J6" s="32"/>
      <c r="K6" s="32"/>
      <c r="L6" s="326"/>
    </row>
    <row r="7" spans="1:12" s="475" customFormat="1" ht="28.5">
      <c r="A7" s="471"/>
      <c r="B7" s="472"/>
      <c r="C7" s="472"/>
      <c r="D7" s="472"/>
      <c r="E7" s="472"/>
      <c r="F7" s="473" t="s">
        <v>176</v>
      </c>
      <c r="G7" s="472"/>
      <c r="H7" s="474" t="s">
        <v>177</v>
      </c>
      <c r="I7" s="474"/>
      <c r="J7" s="474" t="s">
        <v>178</v>
      </c>
      <c r="K7" s="472"/>
      <c r="L7" s="473" t="s">
        <v>176</v>
      </c>
    </row>
    <row r="8" spans="1:12">
      <c r="A8" s="305"/>
      <c r="B8" s="32"/>
      <c r="C8" s="32"/>
      <c r="D8" s="32"/>
      <c r="E8" s="32"/>
      <c r="F8" s="329" t="s">
        <v>476</v>
      </c>
      <c r="G8" s="32"/>
      <c r="H8" s="92" t="s">
        <v>180</v>
      </c>
      <c r="I8" s="92"/>
      <c r="J8" s="92" t="s">
        <v>180</v>
      </c>
      <c r="K8" s="32"/>
      <c r="L8" s="329" t="s">
        <v>477</v>
      </c>
    </row>
    <row r="9" spans="1:12">
      <c r="A9" s="305"/>
      <c r="B9" s="57" t="s">
        <v>182</v>
      </c>
      <c r="C9" s="32"/>
      <c r="D9" s="32"/>
      <c r="E9" s="32"/>
      <c r="F9" s="329" t="s">
        <v>34</v>
      </c>
      <c r="G9" s="97"/>
      <c r="H9" s="92" t="s">
        <v>34</v>
      </c>
      <c r="I9" s="92"/>
      <c r="J9" s="92" t="s">
        <v>34</v>
      </c>
      <c r="K9" s="97"/>
      <c r="L9" s="329" t="s">
        <v>34</v>
      </c>
    </row>
    <row r="10" spans="1:12" ht="4.9000000000000004" customHeight="1">
      <c r="A10" s="305"/>
      <c r="B10" s="32"/>
      <c r="C10" s="32"/>
      <c r="D10" s="32"/>
      <c r="E10" s="32"/>
      <c r="F10" s="120"/>
      <c r="G10" s="32"/>
      <c r="H10" s="32"/>
      <c r="I10" s="32"/>
      <c r="J10" s="32"/>
      <c r="K10" s="32"/>
      <c r="L10" s="326"/>
    </row>
    <row r="11" spans="1:12">
      <c r="A11" s="305"/>
      <c r="B11" s="32" t="str">
        <f>'N6'!B11</f>
        <v>Plants &amp; Equipment</v>
      </c>
      <c r="C11" s="32"/>
      <c r="D11" s="32"/>
      <c r="E11" s="32"/>
      <c r="F11" s="120">
        <f>'N6'!L11</f>
        <v>150080</v>
      </c>
      <c r="G11" s="54"/>
      <c r="H11" s="525">
        <v>50000</v>
      </c>
      <c r="I11" s="476"/>
      <c r="J11" s="476">
        <v>9.9999999999999998E-20</v>
      </c>
      <c r="K11" s="32"/>
      <c r="L11" s="326">
        <f>SUM(F11:H11)</f>
        <v>200080</v>
      </c>
    </row>
    <row r="12" spans="1:12">
      <c r="A12" s="305"/>
      <c r="B12" s="32" t="str">
        <f>'N6'!B12</f>
        <v>Computers &amp; Accessories</v>
      </c>
      <c r="C12" s="32"/>
      <c r="D12" s="32"/>
      <c r="E12" s="32"/>
      <c r="F12" s="120">
        <f>'N6'!L12</f>
        <v>12360</v>
      </c>
      <c r="G12" s="54"/>
      <c r="H12" s="525">
        <v>25600</v>
      </c>
      <c r="I12" s="476"/>
      <c r="J12" s="476">
        <v>9.9999999999999998E-20</v>
      </c>
      <c r="K12" s="32"/>
      <c r="L12" s="326">
        <f t="shared" ref="L12:L18" si="0">SUM(F12:H12)</f>
        <v>37960</v>
      </c>
    </row>
    <row r="13" spans="1:12">
      <c r="A13" s="305"/>
      <c r="B13" s="32" t="str">
        <f>'N6'!B13</f>
        <v>Motor Vehicles</v>
      </c>
      <c r="C13" s="32"/>
      <c r="D13" s="32"/>
      <c r="E13" s="32"/>
      <c r="F13" s="120">
        <f>'N6'!L13</f>
        <v>0</v>
      </c>
      <c r="G13" s="54"/>
      <c r="H13" s="525">
        <v>200000</v>
      </c>
      <c r="I13" s="476"/>
      <c r="J13" s="476"/>
      <c r="K13" s="32"/>
      <c r="L13" s="326">
        <f t="shared" si="0"/>
        <v>200000</v>
      </c>
    </row>
    <row r="14" spans="1:12" hidden="1">
      <c r="A14" s="305"/>
      <c r="B14" s="32" t="str">
        <f>'N6'!B14</f>
        <v>Computer Equipment</v>
      </c>
      <c r="C14" s="32"/>
      <c r="D14" s="32"/>
      <c r="E14" s="32"/>
      <c r="F14" s="120">
        <f>'N6'!L14</f>
        <v>0</v>
      </c>
      <c r="G14" s="54"/>
      <c r="H14" s="330"/>
      <c r="I14" s="476"/>
      <c r="J14" s="476">
        <v>9.9999999999999998E-20</v>
      </c>
      <c r="K14" s="32"/>
      <c r="L14" s="326">
        <f t="shared" si="0"/>
        <v>0</v>
      </c>
    </row>
    <row r="15" spans="1:12" hidden="1">
      <c r="A15" s="305"/>
      <c r="B15" s="32" t="str">
        <f>'N6'!B15</f>
        <v>Work-In- Progress</v>
      </c>
      <c r="C15" s="32"/>
      <c r="D15" s="32"/>
      <c r="E15" s="32"/>
      <c r="F15" s="120">
        <f>'N6'!L15</f>
        <v>0</v>
      </c>
      <c r="G15" s="54"/>
      <c r="H15" s="330"/>
      <c r="I15" s="476"/>
      <c r="J15" s="440"/>
      <c r="K15" s="32"/>
      <c r="L15" s="326">
        <f t="shared" si="0"/>
        <v>0</v>
      </c>
    </row>
    <row r="16" spans="1:12">
      <c r="A16" s="305"/>
      <c r="B16" s="32" t="str">
        <f>'N6'!B16</f>
        <v>Land &amp; Building</v>
      </c>
      <c r="C16" s="32"/>
      <c r="D16" s="32"/>
      <c r="E16" s="32"/>
      <c r="F16" s="120">
        <f>'N6'!L16</f>
        <v>0</v>
      </c>
      <c r="G16" s="54"/>
      <c r="H16" s="525">
        <f>460000*12</f>
        <v>5520000</v>
      </c>
      <c r="I16" s="476"/>
      <c r="J16" s="440"/>
      <c r="K16" s="32"/>
      <c r="L16" s="326">
        <f t="shared" si="0"/>
        <v>5520000</v>
      </c>
    </row>
    <row r="17" spans="1:12" hidden="1">
      <c r="A17" s="305"/>
      <c r="B17" s="32" t="str">
        <f>'N6'!B17</f>
        <v>Air Conditioner</v>
      </c>
      <c r="C17" s="32"/>
      <c r="D17" s="32"/>
      <c r="E17" s="32"/>
      <c r="F17" s="120">
        <f>'N6'!L17</f>
        <v>0</v>
      </c>
      <c r="G17" s="54"/>
      <c r="H17" s="330"/>
      <c r="I17" s="476"/>
      <c r="J17" s="440"/>
      <c r="K17" s="32"/>
      <c r="L17" s="326">
        <f t="shared" si="0"/>
        <v>0</v>
      </c>
    </row>
    <row r="18" spans="1:12">
      <c r="A18" s="305"/>
      <c r="B18" s="32" t="str">
        <f>'N6'!B18</f>
        <v>Furniture &amp; Fittings</v>
      </c>
      <c r="C18" s="32"/>
      <c r="D18" s="32"/>
      <c r="E18" s="32"/>
      <c r="F18" s="120">
        <f>'N6'!L18</f>
        <v>5000</v>
      </c>
      <c r="G18" s="54"/>
      <c r="H18" s="525">
        <v>10500</v>
      </c>
      <c r="I18" s="476"/>
      <c r="J18" s="440"/>
      <c r="K18" s="32"/>
      <c r="L18" s="326">
        <f t="shared" si="0"/>
        <v>15500</v>
      </c>
    </row>
    <row r="19" spans="1:12" hidden="1">
      <c r="A19" s="510"/>
      <c r="B19" s="32" t="str">
        <f>'N6'!B19</f>
        <v>Compressor</v>
      </c>
      <c r="C19" s="32"/>
      <c r="D19" s="32"/>
      <c r="E19" s="32"/>
      <c r="F19" s="120">
        <f>'N6'!L19</f>
        <v>0</v>
      </c>
      <c r="G19" s="54"/>
      <c r="H19" s="330"/>
      <c r="I19" s="476"/>
      <c r="J19" s="440"/>
      <c r="K19" s="32"/>
      <c r="L19" s="326"/>
    </row>
    <row r="20" spans="1:12" hidden="1">
      <c r="A20" s="510"/>
      <c r="B20" s="32" t="str">
        <f>'N6'!B20</f>
        <v>Chem. Warehse &amp; Con.Office</v>
      </c>
      <c r="C20" s="32"/>
      <c r="D20" s="32"/>
      <c r="E20" s="32"/>
      <c r="F20" s="120">
        <f>'N6'!L20</f>
        <v>0</v>
      </c>
      <c r="G20" s="54"/>
      <c r="H20" s="330"/>
      <c r="I20" s="476"/>
      <c r="J20" s="440"/>
      <c r="K20" s="32"/>
      <c r="L20" s="326"/>
    </row>
    <row r="21" spans="1:12">
      <c r="A21" s="305"/>
      <c r="B21" s="32"/>
      <c r="C21" s="32"/>
      <c r="D21" s="32"/>
      <c r="E21" s="32"/>
      <c r="F21" s="477"/>
      <c r="G21" s="32"/>
      <c r="H21" s="478"/>
      <c r="I21" s="32"/>
      <c r="J21" s="478"/>
      <c r="K21" s="32"/>
      <c r="L21" s="529"/>
    </row>
    <row r="22" spans="1:12">
      <c r="A22" s="305"/>
      <c r="B22" s="32"/>
      <c r="C22" s="32"/>
      <c r="D22" s="32"/>
      <c r="E22" s="32"/>
      <c r="F22" s="440"/>
      <c r="G22" s="32"/>
      <c r="H22" s="32"/>
      <c r="I22" s="32"/>
      <c r="J22" s="32"/>
      <c r="K22" s="32"/>
      <c r="L22" s="326"/>
    </row>
    <row r="23" spans="1:12">
      <c r="A23" s="305"/>
      <c r="B23" s="479"/>
      <c r="C23" s="32"/>
      <c r="D23" s="32"/>
      <c r="E23" s="32"/>
      <c r="F23" s="453">
        <f>SUM(F11:F21)</f>
        <v>167440</v>
      </c>
      <c r="G23" s="453"/>
      <c r="H23" s="453">
        <f>SUM(H11:H21)</f>
        <v>5806100</v>
      </c>
      <c r="I23" s="440"/>
      <c r="J23" s="440">
        <f>SUM(J11:J21)</f>
        <v>2.9999999999999999E-19</v>
      </c>
      <c r="K23" s="440"/>
      <c r="L23" s="480">
        <f>SUM(L11:L21)</f>
        <v>5973540</v>
      </c>
    </row>
    <row r="24" spans="1:12" ht="5.25" customHeight="1" thickBot="1">
      <c r="A24" s="305"/>
      <c r="B24" s="32"/>
      <c r="C24" s="32"/>
      <c r="D24" s="32"/>
      <c r="E24" s="32"/>
      <c r="F24" s="481"/>
      <c r="G24" s="32"/>
      <c r="H24" s="148"/>
      <c r="I24" s="32"/>
      <c r="J24" s="148"/>
      <c r="K24" s="32"/>
      <c r="L24" s="523"/>
    </row>
    <row r="25" spans="1:12" ht="8.25" customHeight="1" thickTop="1">
      <c r="A25" s="305"/>
      <c r="B25" s="32"/>
      <c r="C25" s="32"/>
      <c r="D25" s="479"/>
      <c r="E25" s="32"/>
      <c r="F25" s="120"/>
      <c r="G25" s="32"/>
      <c r="H25" s="32"/>
      <c r="I25" s="32"/>
      <c r="J25" s="32"/>
      <c r="K25" s="32"/>
      <c r="L25" s="326"/>
    </row>
    <row r="26" spans="1:12">
      <c r="A26" s="305"/>
      <c r="B26" s="57" t="s">
        <v>141</v>
      </c>
      <c r="C26" s="32"/>
      <c r="D26" s="32"/>
      <c r="E26" s="32"/>
      <c r="F26" s="120"/>
      <c r="G26" s="32"/>
      <c r="H26" s="120"/>
      <c r="I26" s="32"/>
      <c r="J26" s="32"/>
      <c r="K26" s="32"/>
      <c r="L26" s="326"/>
    </row>
    <row r="27" spans="1:12" ht="6" customHeight="1">
      <c r="A27" s="305"/>
      <c r="B27" s="32"/>
      <c r="C27" s="32"/>
      <c r="E27" s="32"/>
      <c r="F27" s="120"/>
      <c r="G27" s="32"/>
      <c r="H27" s="32"/>
      <c r="I27" s="32"/>
      <c r="J27" s="32"/>
      <c r="K27" s="32"/>
      <c r="L27" s="326"/>
    </row>
    <row r="28" spans="1:12">
      <c r="A28" s="305"/>
      <c r="B28" s="32" t="str">
        <f>'N6'!B26</f>
        <v>Plants &amp; Equipment</v>
      </c>
      <c r="C28" s="32"/>
      <c r="D28" s="32"/>
      <c r="E28" s="32"/>
      <c r="F28" s="120">
        <f>'N6'!L26</f>
        <v>88607.231999999989</v>
      </c>
      <c r="G28" s="32"/>
      <c r="H28" s="110">
        <f>(L11-F28)*0.2</f>
        <v>22294.553600000003</v>
      </c>
      <c r="I28" s="32"/>
      <c r="J28" s="476">
        <v>9.9999999999999994E-12</v>
      </c>
      <c r="K28" s="32"/>
      <c r="L28" s="326">
        <f>SUM(F28:H28)</f>
        <v>110901.78559999999</v>
      </c>
    </row>
    <row r="29" spans="1:12">
      <c r="A29" s="305"/>
      <c r="B29" s="32" t="str">
        <f>'N6'!B27</f>
        <v>Computers &amp; Accessories</v>
      </c>
      <c r="C29" s="32"/>
      <c r="D29" s="32"/>
      <c r="E29" s="32"/>
      <c r="F29" s="120">
        <f>'N6'!L27</f>
        <v>6321.34</v>
      </c>
      <c r="G29" s="32"/>
      <c r="H29" s="110">
        <f t="shared" ref="H29:H37" si="1">(L12-F29)*0.2</f>
        <v>6327.732</v>
      </c>
      <c r="I29" s="32"/>
      <c r="J29" s="476">
        <v>9.9999999999999994E-12</v>
      </c>
      <c r="K29" s="32"/>
      <c r="L29" s="326">
        <f t="shared" ref="L29:L36" si="2">SUM(F29:H29)</f>
        <v>12649.072</v>
      </c>
    </row>
    <row r="30" spans="1:12">
      <c r="A30" s="305"/>
      <c r="B30" s="32" t="str">
        <f>'N6'!B28</f>
        <v>Motor Vehicles</v>
      </c>
      <c r="C30" s="32"/>
      <c r="D30" s="32"/>
      <c r="E30" s="32"/>
      <c r="F30" s="120">
        <f>'N6'!L28</f>
        <v>0</v>
      </c>
      <c r="G30" s="32"/>
      <c r="H30" s="110">
        <f t="shared" si="1"/>
        <v>40000</v>
      </c>
      <c r="I30" s="32"/>
      <c r="J30" s="476">
        <v>9.9999999999999994E-12</v>
      </c>
      <c r="K30" s="32"/>
      <c r="L30" s="326">
        <f t="shared" si="2"/>
        <v>40000</v>
      </c>
    </row>
    <row r="31" spans="1:12" hidden="1">
      <c r="A31" s="510"/>
      <c r="B31" s="32" t="str">
        <f>'N6'!B29</f>
        <v>Computer Equipment</v>
      </c>
      <c r="C31" s="32"/>
      <c r="D31" s="32"/>
      <c r="E31" s="32"/>
      <c r="F31" s="120"/>
      <c r="G31" s="32"/>
      <c r="H31" s="110">
        <f t="shared" si="1"/>
        <v>0</v>
      </c>
      <c r="I31" s="32"/>
      <c r="J31" s="476"/>
      <c r="K31" s="32"/>
      <c r="L31" s="326"/>
    </row>
    <row r="32" spans="1:12" ht="14.25" hidden="1" customHeight="1">
      <c r="A32" s="305"/>
      <c r="B32" s="32" t="str">
        <f>'N6'!B30</f>
        <v>Work-In- Progress</v>
      </c>
      <c r="C32" s="32"/>
      <c r="D32" s="32"/>
      <c r="E32" s="32"/>
      <c r="F32" s="120">
        <f>'N6'!L30</f>
        <v>0</v>
      </c>
      <c r="G32" s="32"/>
      <c r="H32" s="110">
        <f t="shared" si="1"/>
        <v>0</v>
      </c>
      <c r="I32" s="32"/>
      <c r="J32" s="476">
        <v>9.9999999999999994E-12</v>
      </c>
      <c r="K32" s="32"/>
      <c r="L32" s="326">
        <f t="shared" si="2"/>
        <v>0</v>
      </c>
    </row>
    <row r="33" spans="1:12">
      <c r="A33" s="305"/>
      <c r="B33" s="32" t="str">
        <f>'N6'!B31</f>
        <v>Land &amp; Building</v>
      </c>
      <c r="C33" s="32"/>
      <c r="D33" s="32"/>
      <c r="E33" s="32"/>
      <c r="F33" s="120">
        <f>'N6'!L31</f>
        <v>0</v>
      </c>
      <c r="G33" s="32"/>
      <c r="H33" s="110">
        <f>(L16-F33)*0.1</f>
        <v>552000</v>
      </c>
      <c r="I33" s="32"/>
      <c r="J33" s="476"/>
      <c r="K33" s="32"/>
      <c r="L33" s="326">
        <f t="shared" si="2"/>
        <v>552000</v>
      </c>
    </row>
    <row r="34" spans="1:12" hidden="1">
      <c r="A34" s="305"/>
      <c r="B34" s="32" t="str">
        <f>'N6'!B32</f>
        <v>Air Conditioner</v>
      </c>
      <c r="C34" s="32"/>
      <c r="D34" s="32"/>
      <c r="E34" s="32"/>
      <c r="F34" s="120">
        <f>'N6'!L32</f>
        <v>0</v>
      </c>
      <c r="G34" s="32"/>
      <c r="H34" s="110">
        <f t="shared" si="1"/>
        <v>0</v>
      </c>
      <c r="I34" s="32"/>
      <c r="J34" s="476"/>
      <c r="K34" s="32"/>
      <c r="L34" s="326">
        <f t="shared" si="2"/>
        <v>0</v>
      </c>
    </row>
    <row r="35" spans="1:12">
      <c r="A35" s="305"/>
      <c r="B35" s="32" t="str">
        <f>'N6'!B33</f>
        <v>Furniture &amp; Fittings</v>
      </c>
      <c r="C35" s="32"/>
      <c r="D35" s="32"/>
      <c r="E35" s="32"/>
      <c r="F35" s="120">
        <f>'N6'!L33</f>
        <v>2952</v>
      </c>
      <c r="G35" s="32"/>
      <c r="H35" s="110">
        <f t="shared" si="1"/>
        <v>2509.6000000000004</v>
      </c>
      <c r="I35" s="32"/>
      <c r="J35" s="476"/>
      <c r="K35" s="32"/>
      <c r="L35" s="326">
        <f t="shared" si="2"/>
        <v>5461.6</v>
      </c>
    </row>
    <row r="36" spans="1:12" hidden="1">
      <c r="A36" s="305"/>
      <c r="B36" s="32" t="str">
        <f>'N6'!B34</f>
        <v>Compressor</v>
      </c>
      <c r="C36" s="32"/>
      <c r="D36" s="32"/>
      <c r="E36" s="32"/>
      <c r="F36" s="120">
        <f>'N6'!L34</f>
        <v>0</v>
      </c>
      <c r="G36" s="32"/>
      <c r="H36" s="110">
        <f t="shared" si="1"/>
        <v>0</v>
      </c>
      <c r="I36" s="32"/>
      <c r="J36" s="476"/>
      <c r="K36" s="32"/>
      <c r="L36" s="326">
        <f t="shared" si="2"/>
        <v>0</v>
      </c>
    </row>
    <row r="37" spans="1:12" hidden="1">
      <c r="A37" s="305"/>
      <c r="B37" s="32" t="str">
        <f>'N6'!B35</f>
        <v>Chem. Warehse &amp; Con.Office</v>
      </c>
      <c r="C37" s="32"/>
      <c r="D37" s="32"/>
      <c r="E37" s="32"/>
      <c r="F37" s="120">
        <f>'N6'!L35</f>
        <v>0</v>
      </c>
      <c r="G37" s="32"/>
      <c r="H37" s="110">
        <f t="shared" si="1"/>
        <v>0</v>
      </c>
      <c r="I37" s="112"/>
      <c r="J37" s="111"/>
      <c r="K37" s="32"/>
      <c r="L37" s="529"/>
    </row>
    <row r="38" spans="1:12" ht="9.75" customHeight="1">
      <c r="A38" s="305"/>
      <c r="B38" s="32"/>
      <c r="C38" s="32"/>
      <c r="D38" s="32"/>
      <c r="E38" s="32"/>
    </row>
    <row r="39" spans="1:12" ht="7.5" customHeight="1">
      <c r="A39" s="305"/>
      <c r="B39" s="32"/>
      <c r="C39" s="32"/>
      <c r="D39" s="32"/>
      <c r="E39" s="32"/>
      <c r="F39" s="440"/>
      <c r="G39" s="32"/>
      <c r="H39" s="112"/>
      <c r="I39" s="112"/>
      <c r="J39" s="112"/>
      <c r="K39" s="32"/>
      <c r="L39" s="326"/>
    </row>
    <row r="40" spans="1:12">
      <c r="A40" s="305"/>
      <c r="B40" s="32"/>
      <c r="C40" s="32"/>
      <c r="D40" s="32"/>
      <c r="E40" s="32"/>
      <c r="F40" s="326">
        <f>SUM(F28:F37)</f>
        <v>97880.571999999986</v>
      </c>
      <c r="G40" s="326"/>
      <c r="H40" s="326">
        <f>SUM(H28:H37)</f>
        <v>623131.88560000004</v>
      </c>
      <c r="I40" s="120"/>
      <c r="J40" s="120">
        <f>SUM(J28:J32)</f>
        <v>3.9999999999999998E-11</v>
      </c>
      <c r="K40" s="120"/>
      <c r="L40" s="326">
        <f>SUM(L28:L37)</f>
        <v>721012.45759999997</v>
      </c>
    </row>
    <row r="41" spans="1:12" ht="9.75" customHeight="1" thickBot="1">
      <c r="A41" s="305"/>
      <c r="B41" s="32"/>
      <c r="C41" s="32"/>
      <c r="D41" s="32"/>
      <c r="E41" s="32"/>
      <c r="F41" s="481"/>
      <c r="G41" s="32"/>
      <c r="H41" s="113"/>
      <c r="I41" s="112"/>
      <c r="J41" s="113"/>
      <c r="K41" s="32"/>
      <c r="L41" s="523"/>
    </row>
    <row r="42" spans="1:12" ht="15" thickTop="1">
      <c r="A42" s="305"/>
      <c r="B42" s="32"/>
      <c r="C42" s="32"/>
      <c r="D42" s="32"/>
      <c r="E42" s="32"/>
      <c r="F42" s="120"/>
      <c r="G42" s="32"/>
      <c r="H42" s="112"/>
      <c r="I42" s="112"/>
      <c r="J42" s="112"/>
      <c r="K42" s="32"/>
      <c r="L42" s="326"/>
    </row>
    <row r="43" spans="1:12">
      <c r="A43" s="305"/>
      <c r="B43" s="57" t="s">
        <v>188</v>
      </c>
      <c r="C43" s="32"/>
      <c r="D43" s="32"/>
      <c r="E43" s="32"/>
      <c r="F43" s="120"/>
      <c r="G43" s="32"/>
      <c r="H43" s="114" t="s">
        <v>189</v>
      </c>
      <c r="I43" s="112"/>
      <c r="J43" s="112"/>
      <c r="K43" s="32"/>
      <c r="L43" s="329" t="s">
        <v>189</v>
      </c>
    </row>
    <row r="44" spans="1:12">
      <c r="A44" s="305"/>
      <c r="C44" s="32"/>
      <c r="D44" s="32"/>
      <c r="E44" s="32"/>
      <c r="F44" s="120"/>
      <c r="G44" s="32"/>
      <c r="H44" s="115">
        <v>2022</v>
      </c>
      <c r="I44" s="112"/>
      <c r="J44" s="116"/>
      <c r="K44" s="32"/>
      <c r="L44" s="531">
        <v>2023</v>
      </c>
    </row>
    <row r="45" spans="1:12">
      <c r="A45" s="305"/>
      <c r="C45" s="32"/>
      <c r="D45" s="32"/>
      <c r="E45" s="32"/>
      <c r="F45" s="120"/>
      <c r="G45" s="32"/>
      <c r="H45" s="115" t="str">
        <f>+H9</f>
        <v>GH¢</v>
      </c>
      <c r="I45" s="112"/>
      <c r="J45" s="116"/>
      <c r="K45" s="32"/>
      <c r="L45" s="329" t="str">
        <f>+L9</f>
        <v>GH¢</v>
      </c>
    </row>
    <row r="46" spans="1:12" ht="6" customHeight="1">
      <c r="A46" s="305"/>
      <c r="B46" s="57"/>
      <c r="C46" s="32"/>
      <c r="D46" s="32"/>
      <c r="E46" s="32"/>
      <c r="F46" s="120"/>
      <c r="G46" s="32"/>
      <c r="H46" s="112"/>
      <c r="I46" s="112"/>
      <c r="J46" s="112"/>
      <c r="K46" s="32"/>
      <c r="L46" s="326"/>
    </row>
    <row r="47" spans="1:12">
      <c r="A47" s="305"/>
      <c r="B47" s="32" t="str">
        <f>B28</f>
        <v>Plants &amp; Equipment</v>
      </c>
      <c r="C47" s="32"/>
      <c r="D47" s="32"/>
      <c r="E47" s="32"/>
      <c r="F47" s="120"/>
      <c r="G47" s="32"/>
      <c r="H47" s="117">
        <f>F11-F28</f>
        <v>61472.768000000011</v>
      </c>
      <c r="I47" s="117">
        <f>+G11-G28</f>
        <v>0</v>
      </c>
      <c r="J47" s="117">
        <f>+H11-H28</f>
        <v>27705.446399999997</v>
      </c>
      <c r="K47" s="117">
        <f>+I11-I28</f>
        <v>0</v>
      </c>
      <c r="L47" s="329">
        <f t="shared" ref="L47:L56" si="3">L11-L28</f>
        <v>89178.214400000012</v>
      </c>
    </row>
    <row r="48" spans="1:12">
      <c r="A48" s="305"/>
      <c r="B48" s="32" t="str">
        <f t="shared" ref="B48:B56" si="4">B29</f>
        <v>Computers &amp; Accessories</v>
      </c>
      <c r="C48" s="32"/>
      <c r="D48" s="32"/>
      <c r="E48" s="32"/>
      <c r="F48" s="120"/>
      <c r="G48" s="32"/>
      <c r="H48" s="117">
        <f>F12-F29</f>
        <v>6038.66</v>
      </c>
      <c r="I48" s="112"/>
      <c r="J48" s="112"/>
      <c r="K48" s="32"/>
      <c r="L48" s="329">
        <f t="shared" si="3"/>
        <v>25310.928</v>
      </c>
    </row>
    <row r="49" spans="1:12">
      <c r="A49" s="305"/>
      <c r="B49" s="32" t="str">
        <f t="shared" si="4"/>
        <v>Motor Vehicles</v>
      </c>
      <c r="C49" s="32"/>
      <c r="D49" s="32"/>
      <c r="E49" s="32"/>
      <c r="F49" s="120"/>
      <c r="G49" s="32"/>
      <c r="H49" s="117">
        <f>F13-F30</f>
        <v>0</v>
      </c>
      <c r="I49" s="112"/>
      <c r="J49" s="112"/>
      <c r="K49" s="32"/>
      <c r="L49" s="329">
        <f t="shared" si="3"/>
        <v>160000</v>
      </c>
    </row>
    <row r="50" spans="1:12" hidden="1">
      <c r="A50" s="510"/>
      <c r="B50" s="32" t="str">
        <f t="shared" si="4"/>
        <v>Computer Equipment</v>
      </c>
      <c r="C50" s="32"/>
      <c r="D50" s="32"/>
      <c r="E50" s="32"/>
      <c r="F50" s="120"/>
      <c r="G50" s="32"/>
      <c r="H50" s="117"/>
      <c r="I50" s="112"/>
      <c r="J50" s="112"/>
      <c r="K50" s="32"/>
      <c r="L50" s="329">
        <f t="shared" si="3"/>
        <v>0</v>
      </c>
    </row>
    <row r="51" spans="1:12" hidden="1">
      <c r="A51" s="305"/>
      <c r="B51" s="32" t="str">
        <f t="shared" si="4"/>
        <v>Work-In- Progress</v>
      </c>
      <c r="C51" s="32"/>
      <c r="D51" s="32"/>
      <c r="E51" s="32"/>
      <c r="F51" s="120"/>
      <c r="G51" s="32"/>
      <c r="H51" s="117">
        <f t="shared" ref="H51:H56" si="5">F15-F32</f>
        <v>0</v>
      </c>
      <c r="I51" s="112"/>
      <c r="J51" s="112"/>
      <c r="K51" s="32"/>
      <c r="L51" s="329">
        <f t="shared" si="3"/>
        <v>0</v>
      </c>
    </row>
    <row r="52" spans="1:12">
      <c r="A52" s="118"/>
      <c r="B52" s="32" t="str">
        <f t="shared" si="4"/>
        <v>Land &amp; Building</v>
      </c>
      <c r="C52" s="119"/>
      <c r="D52" s="119"/>
      <c r="E52" s="119"/>
      <c r="F52" s="120"/>
      <c r="H52" s="117">
        <f t="shared" si="5"/>
        <v>0</v>
      </c>
      <c r="I52" s="92"/>
      <c r="J52" s="92"/>
      <c r="K52" s="32"/>
      <c r="L52" s="329">
        <f t="shared" si="3"/>
        <v>4968000</v>
      </c>
    </row>
    <row r="53" spans="1:12" hidden="1">
      <c r="A53" s="118"/>
      <c r="B53" s="32" t="str">
        <f t="shared" si="4"/>
        <v>Air Conditioner</v>
      </c>
      <c r="C53" s="119"/>
      <c r="D53" s="119"/>
      <c r="E53" s="119"/>
      <c r="F53" s="120"/>
      <c r="H53" s="117">
        <f t="shared" si="5"/>
        <v>0</v>
      </c>
      <c r="L53" s="329">
        <f t="shared" si="3"/>
        <v>0</v>
      </c>
    </row>
    <row r="54" spans="1:12">
      <c r="A54" s="118"/>
      <c r="B54" s="32" t="str">
        <f t="shared" si="4"/>
        <v>Furniture &amp; Fittings</v>
      </c>
      <c r="C54" s="119"/>
      <c r="D54" s="119"/>
      <c r="E54" s="119"/>
      <c r="F54" s="120"/>
      <c r="H54" s="117">
        <f t="shared" si="5"/>
        <v>2048</v>
      </c>
      <c r="L54" s="329">
        <f t="shared" si="3"/>
        <v>10038.4</v>
      </c>
    </row>
    <row r="55" spans="1:12" hidden="1">
      <c r="A55" s="118"/>
      <c r="B55" s="32" t="str">
        <f t="shared" si="4"/>
        <v>Compressor</v>
      </c>
      <c r="C55" s="119"/>
      <c r="D55" s="119"/>
      <c r="E55" s="119"/>
      <c r="F55" s="120"/>
      <c r="H55" s="117">
        <f t="shared" si="5"/>
        <v>0</v>
      </c>
      <c r="L55" s="329">
        <f t="shared" si="3"/>
        <v>0</v>
      </c>
    </row>
    <row r="56" spans="1:12" hidden="1">
      <c r="A56" s="118"/>
      <c r="B56" s="32" t="str">
        <f t="shared" si="4"/>
        <v>Chem. Warehse &amp; Con.Office</v>
      </c>
      <c r="C56" s="119"/>
      <c r="D56" s="119"/>
      <c r="E56" s="119"/>
      <c r="F56" s="120"/>
      <c r="H56" s="117">
        <f t="shared" si="5"/>
        <v>0</v>
      </c>
      <c r="L56" s="432">
        <f t="shared" si="3"/>
        <v>0</v>
      </c>
    </row>
    <row r="57" spans="1:12" ht="9.75" customHeight="1">
      <c r="B57" s="32"/>
      <c r="C57" s="123"/>
      <c r="D57" s="123"/>
      <c r="E57" s="123"/>
      <c r="F57" s="526"/>
      <c r="G57" s="123"/>
      <c r="H57" s="121"/>
      <c r="I57" s="92"/>
      <c r="J57" s="92"/>
      <c r="K57" s="32"/>
      <c r="L57" s="530"/>
    </row>
    <row r="58" spans="1:12">
      <c r="H58" s="350">
        <f>SUM(H47:H57)</f>
        <v>69559.428000000014</v>
      </c>
      <c r="I58" s="92"/>
      <c r="J58" s="92"/>
      <c r="K58" s="32"/>
      <c r="L58" s="480">
        <f>SUM(L47:L57)</f>
        <v>5252527.5424000006</v>
      </c>
    </row>
    <row r="59" spans="1:12" ht="6" customHeight="1" thickBot="1">
      <c r="H59" s="122"/>
      <c r="I59" s="92"/>
      <c r="J59" s="92"/>
      <c r="K59" s="32"/>
      <c r="L59" s="420"/>
    </row>
    <row r="60" spans="1:12" ht="15" thickTop="1"/>
    <row r="65" spans="1:11">
      <c r="A65" s="118"/>
      <c r="B65" s="119"/>
      <c r="C65" s="119"/>
      <c r="D65" s="119"/>
      <c r="E65" s="119"/>
      <c r="F65" s="120"/>
      <c r="K65" s="119"/>
    </row>
    <row r="66" spans="1:11">
      <c r="A66" s="118"/>
      <c r="B66" s="119"/>
      <c r="C66" s="119"/>
      <c r="D66" s="119"/>
      <c r="E66" s="119"/>
      <c r="F66" s="120"/>
      <c r="H66" s="119"/>
      <c r="I66" s="119"/>
      <c r="J66" s="119"/>
      <c r="K66" s="119"/>
    </row>
  </sheetData>
  <mergeCells count="3">
    <mergeCell ref="A1:L1"/>
    <mergeCell ref="A2:L2"/>
    <mergeCell ref="A3:L3"/>
  </mergeCells>
  <printOptions horizontalCentered="1"/>
  <pageMargins left="0.7" right="0.7" top="0.75" bottom="0.75" header="0.3" footer="0.3"/>
  <pageSetup paperSize="9" orientation="portrait" r:id="rId1"/>
  <headerFooter>
    <oddFooter>&amp;C13</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10028-5E54-457E-860D-28CC3B5F4D7C}">
  <dimension ref="A1:L62"/>
  <sheetViews>
    <sheetView topLeftCell="A16" zoomScaleNormal="100" workbookViewId="0">
      <selection activeCell="A48" sqref="A48:XFD48"/>
    </sheetView>
  </sheetViews>
  <sheetFormatPr defaultColWidth="8.7265625" defaultRowHeight="14.5"/>
  <cols>
    <col min="1" max="1" width="4.7265625" style="409" customWidth="1"/>
    <col min="2" max="2" width="12.26953125" style="309" bestFit="1" customWidth="1"/>
    <col min="3" max="3" width="8.7265625" style="309"/>
    <col min="4" max="4" width="14" style="309" bestFit="1" customWidth="1"/>
    <col min="5" max="5" width="3.453125" style="309" customWidth="1"/>
    <col min="6" max="6" width="13.453125" style="431" bestFit="1" customWidth="1"/>
    <col min="7" max="7" width="1.453125" style="309" customWidth="1"/>
    <col min="8" max="8" width="12.54296875" style="309" customWidth="1"/>
    <col min="9" max="9" width="1.26953125" style="309" customWidth="1"/>
    <col min="10" max="10" width="12" style="309" hidden="1" customWidth="1"/>
    <col min="11" max="11" width="1.1796875" style="309" hidden="1" customWidth="1"/>
    <col min="12" max="12" width="13.7265625" style="432" bestFit="1" customWidth="1"/>
    <col min="13" max="16384" width="8.7265625" style="309"/>
  </cols>
  <sheetData>
    <row r="1" spans="1:12" ht="15.5">
      <c r="A1" s="562" t="str">
        <f>+SCF!A1</f>
        <v>MES CONTRACTING AND TRADING LTD</v>
      </c>
      <c r="B1" s="562"/>
      <c r="C1" s="562"/>
      <c r="D1" s="562"/>
      <c r="E1" s="562"/>
      <c r="F1" s="562"/>
      <c r="G1" s="562"/>
      <c r="H1" s="562"/>
      <c r="I1" s="562"/>
      <c r="J1" s="562"/>
      <c r="K1" s="562"/>
      <c r="L1" s="562"/>
    </row>
    <row r="2" spans="1:12" ht="15.5">
      <c r="A2" s="563" t="str">
        <f>+'[2]notes 1a'!A2:J2</f>
        <v>NOTES TO THE FINANCIAL STATEMENTS</v>
      </c>
      <c r="B2" s="563"/>
      <c r="C2" s="563"/>
      <c r="D2" s="563"/>
      <c r="E2" s="563"/>
      <c r="F2" s="563"/>
      <c r="G2" s="563"/>
      <c r="H2" s="563"/>
      <c r="I2" s="563"/>
      <c r="J2" s="563"/>
      <c r="K2" s="563"/>
      <c r="L2" s="563"/>
    </row>
    <row r="3" spans="1:12" ht="15.5">
      <c r="A3" s="562" t="str">
        <f>+'P &amp; L'!A3:H3</f>
        <v>FOR THE YEAR ENDED 31 DECEMBER 2023</v>
      </c>
      <c r="B3" s="562"/>
      <c r="C3" s="562"/>
      <c r="D3" s="562"/>
      <c r="E3" s="562"/>
      <c r="F3" s="562"/>
      <c r="G3" s="562"/>
      <c r="H3" s="562"/>
      <c r="I3" s="562"/>
      <c r="J3" s="562"/>
      <c r="K3" s="562"/>
      <c r="L3" s="562"/>
    </row>
    <row r="5" spans="1:12">
      <c r="A5" s="306" t="s">
        <v>190</v>
      </c>
      <c r="B5" s="57" t="s">
        <v>175</v>
      </c>
      <c r="C5" s="32"/>
      <c r="D5" s="32"/>
      <c r="E5" s="32"/>
      <c r="F5" s="120"/>
      <c r="G5" s="32"/>
      <c r="H5" s="32"/>
      <c r="I5" s="32"/>
      <c r="J5" s="32"/>
      <c r="K5" s="32"/>
      <c r="L5" s="326"/>
    </row>
    <row r="6" spans="1:12">
      <c r="A6" s="305"/>
      <c r="B6" s="32"/>
      <c r="C6" s="32"/>
      <c r="D6" s="32"/>
      <c r="E6" s="32"/>
      <c r="F6" s="120"/>
      <c r="G6" s="32"/>
      <c r="H6" s="32"/>
      <c r="I6" s="32"/>
      <c r="J6" s="32"/>
      <c r="K6" s="32"/>
      <c r="L6" s="326"/>
    </row>
    <row r="7" spans="1:12" s="475" customFormat="1" ht="28.5">
      <c r="A7" s="471"/>
      <c r="B7" s="472"/>
      <c r="C7" s="472"/>
      <c r="D7" s="472"/>
      <c r="E7" s="472"/>
      <c r="F7" s="473" t="s">
        <v>176</v>
      </c>
      <c r="G7" s="472"/>
      <c r="H7" s="474" t="s">
        <v>177</v>
      </c>
      <c r="I7" s="474"/>
      <c r="J7" s="474" t="s">
        <v>178</v>
      </c>
      <c r="K7" s="472"/>
      <c r="L7" s="473" t="s">
        <v>176</v>
      </c>
    </row>
    <row r="8" spans="1:12">
      <c r="A8" s="305"/>
      <c r="B8" s="32"/>
      <c r="C8" s="32"/>
      <c r="D8" s="32"/>
      <c r="E8" s="32"/>
      <c r="F8" s="329" t="s">
        <v>179</v>
      </c>
      <c r="G8" s="32"/>
      <c r="H8" s="92" t="s">
        <v>180</v>
      </c>
      <c r="I8" s="92"/>
      <c r="J8" s="92" t="s">
        <v>180</v>
      </c>
      <c r="K8" s="32"/>
      <c r="L8" s="329" t="s">
        <v>181</v>
      </c>
    </row>
    <row r="9" spans="1:12">
      <c r="A9" s="305"/>
      <c r="B9" s="57" t="s">
        <v>182</v>
      </c>
      <c r="C9" s="32"/>
      <c r="D9" s="32"/>
      <c r="E9" s="32"/>
      <c r="F9" s="329" t="s">
        <v>34</v>
      </c>
      <c r="G9" s="97"/>
      <c r="H9" s="92" t="s">
        <v>34</v>
      </c>
      <c r="I9" s="92"/>
      <c r="J9" s="92" t="s">
        <v>34</v>
      </c>
      <c r="K9" s="97"/>
      <c r="L9" s="329" t="s">
        <v>34</v>
      </c>
    </row>
    <row r="10" spans="1:12" ht="4.9000000000000004" customHeight="1">
      <c r="A10" s="305"/>
      <c r="B10" s="32"/>
      <c r="C10" s="32"/>
      <c r="D10" s="32"/>
      <c r="E10" s="32"/>
      <c r="F10" s="120"/>
      <c r="G10" s="32"/>
      <c r="H10" s="32"/>
      <c r="I10" s="32"/>
      <c r="J10" s="32"/>
      <c r="K10" s="32"/>
      <c r="L10" s="326"/>
    </row>
    <row r="11" spans="1:12">
      <c r="A11" s="305"/>
      <c r="B11" s="32" t="s">
        <v>183</v>
      </c>
      <c r="C11" s="32"/>
      <c r="D11" s="32"/>
      <c r="E11" s="32"/>
      <c r="F11" s="54">
        <v>150080</v>
      </c>
      <c r="G11" s="54"/>
      <c r="H11" s="330"/>
      <c r="I11" s="476"/>
      <c r="J11" s="476">
        <v>9.9999999999999998E-20</v>
      </c>
      <c r="K11" s="32"/>
      <c r="L11" s="120">
        <f>SUM(F11:H11)</f>
        <v>150080</v>
      </c>
    </row>
    <row r="12" spans="1:12">
      <c r="A12" s="305"/>
      <c r="B12" s="32" t="s">
        <v>144</v>
      </c>
      <c r="C12" s="32"/>
      <c r="D12" s="32"/>
      <c r="E12" s="32"/>
      <c r="F12" s="54">
        <v>9860</v>
      </c>
      <c r="G12" s="54"/>
      <c r="H12" s="330">
        <v>2500</v>
      </c>
      <c r="I12" s="476"/>
      <c r="J12" s="476">
        <v>9.9999999999999998E-20</v>
      </c>
      <c r="K12" s="32"/>
      <c r="L12" s="120">
        <f t="shared" ref="L12:L20" si="0">SUM(F12:H12)</f>
        <v>12360</v>
      </c>
    </row>
    <row r="13" spans="1:12">
      <c r="A13" s="305"/>
      <c r="B13" s="32" t="s">
        <v>184</v>
      </c>
      <c r="C13" s="32"/>
      <c r="D13" s="32"/>
      <c r="E13" s="32"/>
      <c r="F13" s="54"/>
      <c r="G13" s="54"/>
      <c r="H13" s="330"/>
      <c r="I13" s="476"/>
      <c r="J13" s="476"/>
      <c r="K13" s="32"/>
      <c r="L13" s="120">
        <f t="shared" si="0"/>
        <v>0</v>
      </c>
    </row>
    <row r="14" spans="1:12" hidden="1">
      <c r="A14" s="305"/>
      <c r="B14" s="32" t="s">
        <v>186</v>
      </c>
      <c r="C14" s="32"/>
      <c r="D14" s="32"/>
      <c r="E14" s="32"/>
      <c r="F14" s="120"/>
      <c r="G14" s="54"/>
      <c r="H14" s="330"/>
      <c r="I14" s="476"/>
      <c r="J14" s="476">
        <v>9.9999999999999998E-20</v>
      </c>
      <c r="K14" s="32"/>
      <c r="L14" s="120">
        <f t="shared" si="0"/>
        <v>0</v>
      </c>
    </row>
    <row r="15" spans="1:12" hidden="1">
      <c r="A15" s="305"/>
      <c r="B15" s="32" t="s">
        <v>187</v>
      </c>
      <c r="C15" s="32"/>
      <c r="D15" s="32"/>
      <c r="E15" s="32"/>
      <c r="F15" s="120"/>
      <c r="G15" s="54"/>
      <c r="H15" s="476"/>
      <c r="I15" s="476"/>
      <c r="J15" s="440">
        <v>0</v>
      </c>
      <c r="K15" s="32"/>
      <c r="L15" s="120">
        <f t="shared" si="0"/>
        <v>0</v>
      </c>
    </row>
    <row r="16" spans="1:12">
      <c r="A16" s="305"/>
      <c r="B16" s="32" t="s">
        <v>518</v>
      </c>
      <c r="C16" s="32"/>
      <c r="D16" s="32"/>
      <c r="E16" s="32"/>
      <c r="F16" s="120"/>
      <c r="G16" s="54"/>
      <c r="H16" s="330"/>
      <c r="I16" s="476"/>
      <c r="J16" s="440"/>
      <c r="K16" s="32"/>
      <c r="L16" s="120">
        <f t="shared" si="0"/>
        <v>0</v>
      </c>
    </row>
    <row r="17" spans="1:12" hidden="1">
      <c r="A17" s="305"/>
      <c r="B17" s="32" t="s">
        <v>417</v>
      </c>
      <c r="C17" s="32"/>
      <c r="D17" s="32"/>
      <c r="E17" s="32"/>
      <c r="F17" s="440"/>
      <c r="G17" s="32"/>
      <c r="H17" s="377"/>
      <c r="I17" s="32"/>
      <c r="J17" s="32"/>
      <c r="K17" s="32"/>
      <c r="L17" s="120">
        <f t="shared" si="0"/>
        <v>0</v>
      </c>
    </row>
    <row r="18" spans="1:12">
      <c r="A18" s="305"/>
      <c r="B18" s="32" t="s">
        <v>185</v>
      </c>
      <c r="C18" s="32"/>
      <c r="D18" s="32"/>
      <c r="E18" s="32"/>
      <c r="F18" s="440">
        <v>5000</v>
      </c>
      <c r="G18" s="32"/>
      <c r="H18" s="120"/>
      <c r="I18" s="32"/>
      <c r="J18" s="32"/>
      <c r="K18" s="32"/>
      <c r="L18" s="120">
        <f t="shared" si="0"/>
        <v>5000</v>
      </c>
    </row>
    <row r="19" spans="1:12" hidden="1">
      <c r="A19" s="305"/>
      <c r="B19" s="32" t="s">
        <v>421</v>
      </c>
      <c r="C19" s="32"/>
      <c r="D19" s="32"/>
      <c r="E19" s="32"/>
      <c r="F19" s="440"/>
      <c r="G19" s="32"/>
      <c r="H19" s="120"/>
      <c r="I19" s="32"/>
      <c r="J19" s="32"/>
      <c r="K19" s="32"/>
      <c r="L19" s="120">
        <f t="shared" si="0"/>
        <v>0</v>
      </c>
    </row>
    <row r="20" spans="1:12" hidden="1">
      <c r="A20" s="305"/>
      <c r="B20" s="32" t="s">
        <v>422</v>
      </c>
      <c r="C20" s="32"/>
      <c r="D20" s="32"/>
      <c r="E20" s="32"/>
      <c r="F20" s="440"/>
      <c r="G20" s="32"/>
      <c r="H20" s="120"/>
      <c r="I20" s="32"/>
      <c r="J20" s="32"/>
      <c r="K20" s="32"/>
      <c r="L20" s="120">
        <f t="shared" si="0"/>
        <v>0</v>
      </c>
    </row>
    <row r="21" spans="1:12">
      <c r="A21" s="305"/>
      <c r="B21" s="479"/>
      <c r="C21" s="32"/>
      <c r="D21" s="32"/>
      <c r="E21" s="32"/>
      <c r="F21" s="440"/>
      <c r="G21" s="440"/>
      <c r="H21" s="440"/>
      <c r="I21" s="440"/>
      <c r="J21" s="440">
        <f>SUM(J11:J17)</f>
        <v>2.9999999999999999E-19</v>
      </c>
      <c r="K21" s="440"/>
      <c r="L21" s="480">
        <f>SUM(L11:L20)</f>
        <v>167440</v>
      </c>
    </row>
    <row r="22" spans="1:12" ht="5.25" customHeight="1" thickBot="1">
      <c r="A22" s="305"/>
      <c r="B22" s="32"/>
      <c r="C22" s="32"/>
      <c r="D22" s="32"/>
      <c r="E22" s="32"/>
      <c r="F22" s="481"/>
      <c r="G22" s="32"/>
      <c r="H22" s="148"/>
      <c r="I22" s="32"/>
      <c r="J22" s="148"/>
      <c r="K22" s="32"/>
      <c r="L22" s="523"/>
    </row>
    <row r="23" spans="1:12" ht="15" thickTop="1">
      <c r="A23" s="305"/>
      <c r="B23" s="32"/>
      <c r="C23" s="32"/>
      <c r="D23" s="479"/>
      <c r="E23" s="32"/>
      <c r="F23" s="120"/>
      <c r="G23" s="32"/>
      <c r="H23" s="32"/>
      <c r="I23" s="32"/>
      <c r="J23" s="32"/>
      <c r="K23" s="32"/>
      <c r="L23" s="326"/>
    </row>
    <row r="24" spans="1:12">
      <c r="A24" s="305"/>
      <c r="B24" s="57" t="s">
        <v>141</v>
      </c>
      <c r="C24" s="32"/>
      <c r="D24" s="32"/>
      <c r="E24" s="32"/>
      <c r="F24" s="120"/>
      <c r="G24" s="32"/>
      <c r="H24" s="120"/>
      <c r="I24" s="32"/>
      <c r="J24" s="32"/>
      <c r="K24" s="32"/>
      <c r="L24" s="326"/>
    </row>
    <row r="25" spans="1:12" ht="6" customHeight="1">
      <c r="A25" s="305"/>
      <c r="B25" s="32"/>
      <c r="C25" s="32"/>
      <c r="E25" s="32"/>
      <c r="F25" s="120"/>
      <c r="G25" s="32"/>
      <c r="H25" s="504"/>
      <c r="I25" s="32"/>
      <c r="J25" s="32"/>
      <c r="K25" s="32"/>
      <c r="L25" s="326"/>
    </row>
    <row r="26" spans="1:12">
      <c r="A26" s="305"/>
      <c r="B26" s="32" t="str">
        <f>B11</f>
        <v>Plants &amp; Equipment</v>
      </c>
      <c r="C26" s="32"/>
      <c r="D26" s="32"/>
      <c r="E26" s="32"/>
      <c r="F26" s="120">
        <v>73239.039999999994</v>
      </c>
      <c r="G26" s="32"/>
      <c r="H26" s="505">
        <v>15368.191999999999</v>
      </c>
      <c r="I26" s="32"/>
      <c r="J26" s="476">
        <v>9.9999999999999994E-12</v>
      </c>
      <c r="K26" s="32"/>
      <c r="L26" s="326">
        <f>SUM(F26:H26)</f>
        <v>88607.231999999989</v>
      </c>
    </row>
    <row r="27" spans="1:12">
      <c r="A27" s="305"/>
      <c r="B27" s="32" t="str">
        <f>+B12</f>
        <v>Computers &amp; Accessories</v>
      </c>
      <c r="C27" s="32"/>
      <c r="D27" s="32"/>
      <c r="E27" s="32"/>
      <c r="F27" s="120">
        <v>4811.68</v>
      </c>
      <c r="G27" s="32"/>
      <c r="H27" s="505">
        <v>1509.66</v>
      </c>
      <c r="I27" s="32"/>
      <c r="J27" s="476">
        <v>9.9999999999999994E-12</v>
      </c>
      <c r="K27" s="32"/>
      <c r="L27" s="326">
        <f t="shared" ref="L27:L35" si="1">SUM(F27:H27)</f>
        <v>6321.34</v>
      </c>
    </row>
    <row r="28" spans="1:12">
      <c r="A28" s="305"/>
      <c r="B28" s="32" t="str">
        <f>+B13</f>
        <v>Motor Vehicles</v>
      </c>
      <c r="C28" s="32"/>
      <c r="D28" s="32"/>
      <c r="E28" s="32"/>
      <c r="F28" s="110"/>
      <c r="G28" s="32"/>
      <c r="H28" s="505"/>
      <c r="I28" s="32"/>
      <c r="J28" s="476">
        <v>9.9999999999999994E-12</v>
      </c>
      <c r="K28" s="32"/>
      <c r="L28" s="326">
        <f t="shared" si="1"/>
        <v>0</v>
      </c>
    </row>
    <row r="29" spans="1:12" hidden="1">
      <c r="A29" s="510"/>
      <c r="B29" s="32" t="s">
        <v>186</v>
      </c>
      <c r="C29" s="32"/>
      <c r="D29" s="32"/>
      <c r="E29" s="32"/>
      <c r="F29" s="120"/>
      <c r="G29" s="54"/>
      <c r="H29" s="330"/>
      <c r="I29" s="476"/>
      <c r="J29" s="476">
        <v>9.9999999999999998E-20</v>
      </c>
      <c r="K29" s="32"/>
      <c r="L29" s="326">
        <f t="shared" si="1"/>
        <v>0</v>
      </c>
    </row>
    <row r="30" spans="1:12" hidden="1">
      <c r="A30" s="510"/>
      <c r="B30" s="32" t="s">
        <v>187</v>
      </c>
      <c r="C30" s="32"/>
      <c r="D30" s="32"/>
      <c r="E30" s="32"/>
      <c r="F30" s="110"/>
      <c r="G30" s="32"/>
      <c r="H30" s="505"/>
      <c r="I30" s="32"/>
      <c r="J30" s="476"/>
      <c r="K30" s="32"/>
      <c r="L30" s="326">
        <f t="shared" si="1"/>
        <v>0</v>
      </c>
    </row>
    <row r="31" spans="1:12">
      <c r="A31" s="305"/>
      <c r="B31" s="32" t="str">
        <f>+B16</f>
        <v>Land &amp; Building</v>
      </c>
      <c r="C31" s="32"/>
      <c r="D31" s="32"/>
      <c r="E31" s="32"/>
      <c r="F31" s="120"/>
      <c r="G31" s="32"/>
      <c r="H31" s="505"/>
      <c r="I31" s="32"/>
      <c r="J31" s="476"/>
      <c r="K31" s="32"/>
      <c r="L31" s="326">
        <f t="shared" si="1"/>
        <v>0</v>
      </c>
    </row>
    <row r="32" spans="1:12" hidden="1">
      <c r="A32" s="305"/>
      <c r="B32" s="32" t="s">
        <v>417</v>
      </c>
      <c r="C32" s="32"/>
      <c r="D32" s="32"/>
      <c r="E32" s="32"/>
      <c r="F32" s="440"/>
      <c r="G32" s="32"/>
      <c r="H32" s="506"/>
      <c r="I32" s="112"/>
      <c r="J32" s="111"/>
      <c r="K32" s="32"/>
      <c r="L32" s="326">
        <f t="shared" si="1"/>
        <v>0</v>
      </c>
    </row>
    <row r="33" spans="1:12">
      <c r="A33" s="305"/>
      <c r="B33" s="32" t="s">
        <v>185</v>
      </c>
      <c r="C33" s="32"/>
      <c r="D33" s="32"/>
      <c r="E33" s="32"/>
      <c r="F33" s="440">
        <v>2440</v>
      </c>
      <c r="G33" s="32"/>
      <c r="H33" s="506">
        <v>512</v>
      </c>
      <c r="I33" s="112"/>
      <c r="J33" s="112"/>
      <c r="K33" s="32"/>
      <c r="L33" s="326">
        <f t="shared" si="1"/>
        <v>2952</v>
      </c>
    </row>
    <row r="34" spans="1:12" hidden="1">
      <c r="A34" s="305"/>
      <c r="B34" s="32" t="s">
        <v>421</v>
      </c>
      <c r="C34" s="32"/>
      <c r="D34" s="32"/>
      <c r="E34" s="32"/>
      <c r="F34" s="120"/>
      <c r="G34" s="120"/>
      <c r="H34" s="349"/>
      <c r="I34" s="120"/>
      <c r="J34" s="120">
        <f>SUM(J26:J28)</f>
        <v>3E-11</v>
      </c>
      <c r="K34" s="120"/>
      <c r="L34" s="326">
        <f t="shared" si="1"/>
        <v>0</v>
      </c>
    </row>
    <row r="35" spans="1:12" hidden="1">
      <c r="A35" s="305"/>
      <c r="B35" s="32" t="s">
        <v>422</v>
      </c>
      <c r="C35" s="32"/>
      <c r="D35" s="32"/>
      <c r="E35" s="32"/>
      <c r="F35" s="440"/>
      <c r="G35" s="32"/>
      <c r="H35" s="506"/>
      <c r="I35" s="112"/>
      <c r="J35" s="112"/>
      <c r="K35" s="32"/>
      <c r="L35" s="326">
        <f t="shared" si="1"/>
        <v>0</v>
      </c>
    </row>
    <row r="36" spans="1:12" ht="15" thickBot="1">
      <c r="A36" s="305"/>
      <c r="B36" s="32"/>
      <c r="C36" s="32"/>
      <c r="D36" s="32"/>
      <c r="E36" s="32"/>
      <c r="F36" s="482">
        <f>SUM(F26:F35)</f>
        <v>80490.720000000001</v>
      </c>
      <c r="G36" s="482">
        <f t="shared" ref="G36:H36" si="2">SUM(G26:G35)</f>
        <v>0</v>
      </c>
      <c r="H36" s="482">
        <f t="shared" si="2"/>
        <v>17389.851999999999</v>
      </c>
      <c r="I36" s="289"/>
      <c r="J36" s="289"/>
      <c r="K36" s="483"/>
      <c r="L36" s="482">
        <f>SUM(L26:L35)</f>
        <v>97880.571999999986</v>
      </c>
    </row>
    <row r="37" spans="1:12" ht="15" thickTop="1"/>
    <row r="38" spans="1:12">
      <c r="A38" s="305"/>
      <c r="B38" s="57" t="s">
        <v>188</v>
      </c>
      <c r="C38" s="32"/>
      <c r="D38" s="32"/>
      <c r="E38" s="32"/>
      <c r="F38" s="120"/>
      <c r="G38" s="32"/>
      <c r="H38" s="114" t="s">
        <v>189</v>
      </c>
      <c r="I38" s="112"/>
      <c r="J38" s="112"/>
      <c r="K38" s="32"/>
      <c r="L38" s="329" t="s">
        <v>189</v>
      </c>
    </row>
    <row r="39" spans="1:12">
      <c r="A39" s="305"/>
      <c r="C39" s="32"/>
      <c r="D39" s="32"/>
      <c r="E39" s="32"/>
      <c r="F39" s="120"/>
      <c r="G39" s="32"/>
      <c r="H39" s="115">
        <v>2020</v>
      </c>
      <c r="I39" s="112"/>
      <c r="J39" s="116"/>
      <c r="K39" s="32"/>
      <c r="L39" s="326">
        <v>2021</v>
      </c>
    </row>
    <row r="40" spans="1:12">
      <c r="A40" s="305"/>
      <c r="C40" s="32"/>
      <c r="D40" s="32"/>
      <c r="E40" s="32"/>
      <c r="F40" s="120"/>
      <c r="G40" s="32"/>
      <c r="H40" s="115" t="str">
        <f>+H9</f>
        <v>GH¢</v>
      </c>
      <c r="I40" s="112"/>
      <c r="J40" s="116"/>
      <c r="K40" s="32"/>
      <c r="L40" s="329" t="str">
        <f>+L9</f>
        <v>GH¢</v>
      </c>
    </row>
    <row r="41" spans="1:12" ht="6" customHeight="1">
      <c r="A41" s="305"/>
      <c r="B41" s="57"/>
      <c r="C41" s="32"/>
      <c r="D41" s="32"/>
      <c r="E41" s="32"/>
      <c r="F41" s="120"/>
      <c r="G41" s="32"/>
      <c r="H41" s="112"/>
      <c r="I41" s="112"/>
      <c r="J41" s="112"/>
      <c r="K41" s="32"/>
      <c r="L41" s="326"/>
    </row>
    <row r="42" spans="1:12">
      <c r="A42" s="305"/>
      <c r="B42" s="32" t="str">
        <f>B26</f>
        <v>Plants &amp; Equipment</v>
      </c>
      <c r="C42" s="32"/>
      <c r="D42" s="32"/>
      <c r="E42" s="32"/>
      <c r="F42" s="120"/>
      <c r="G42" s="32"/>
      <c r="H42" s="117">
        <f>+F11-F26</f>
        <v>76840.960000000006</v>
      </c>
      <c r="I42" s="112"/>
      <c r="J42" s="112"/>
      <c r="K42" s="32"/>
      <c r="L42" s="326">
        <f>+L11-L26</f>
        <v>61472.768000000011</v>
      </c>
    </row>
    <row r="43" spans="1:12">
      <c r="A43" s="305"/>
      <c r="B43" s="32" t="str">
        <f>B27</f>
        <v>Computers &amp; Accessories</v>
      </c>
      <c r="C43" s="32"/>
      <c r="D43" s="32"/>
      <c r="E43" s="32"/>
      <c r="F43" s="120"/>
      <c r="G43" s="32"/>
      <c r="H43" s="117">
        <f>+F12-F27</f>
        <v>5048.32</v>
      </c>
      <c r="I43" s="112"/>
      <c r="J43" s="112"/>
      <c r="K43" s="32"/>
      <c r="L43" s="326">
        <f>+L12-L27</f>
        <v>6038.66</v>
      </c>
    </row>
    <row r="44" spans="1:12">
      <c r="A44" s="305"/>
      <c r="B44" s="32" t="str">
        <f>B28</f>
        <v>Motor Vehicles</v>
      </c>
      <c r="C44" s="32"/>
      <c r="D44" s="32"/>
      <c r="E44" s="32"/>
      <c r="F44" s="120"/>
      <c r="G44" s="32"/>
      <c r="H44" s="117">
        <f>+F13-F28</f>
        <v>0</v>
      </c>
      <c r="I44" s="112"/>
      <c r="J44" s="112"/>
      <c r="K44" s="32"/>
      <c r="L44" s="326">
        <f>+L13-L28</f>
        <v>0</v>
      </c>
    </row>
    <row r="45" spans="1:12">
      <c r="A45" s="510"/>
      <c r="B45" s="32" t="s">
        <v>186</v>
      </c>
      <c r="C45" s="32"/>
      <c r="D45" s="32"/>
      <c r="E45" s="32"/>
      <c r="F45" s="120"/>
      <c r="G45" s="54"/>
      <c r="H45" s="330"/>
      <c r="I45" s="476"/>
      <c r="J45" s="476">
        <v>9.9999999999999998E-20</v>
      </c>
      <c r="K45" s="32"/>
      <c r="L45" s="120">
        <f t="shared" ref="L45" si="3">SUM(F45:H45)</f>
        <v>0</v>
      </c>
    </row>
    <row r="46" spans="1:12" hidden="1">
      <c r="A46" s="510"/>
      <c r="B46" s="32" t="s">
        <v>187</v>
      </c>
      <c r="C46" s="32"/>
      <c r="D46" s="32"/>
      <c r="E46" s="32"/>
      <c r="F46" s="110"/>
      <c r="G46" s="32"/>
      <c r="H46" s="505"/>
      <c r="I46" s="32"/>
      <c r="J46" s="476"/>
      <c r="K46" s="32"/>
      <c r="L46" s="326"/>
    </row>
    <row r="47" spans="1:12" hidden="1">
      <c r="A47" s="305"/>
      <c r="B47" s="32" t="str">
        <f>B31</f>
        <v>Land &amp; Building</v>
      </c>
      <c r="C47" s="32"/>
      <c r="D47" s="32"/>
      <c r="E47" s="32"/>
      <c r="F47" s="120"/>
      <c r="G47" s="32"/>
      <c r="H47" s="117">
        <f>+F16-F31</f>
        <v>0</v>
      </c>
      <c r="I47" s="112"/>
      <c r="J47" s="112"/>
      <c r="K47" s="32"/>
      <c r="L47" s="326">
        <f>L16-L31</f>
        <v>0</v>
      </c>
    </row>
    <row r="48" spans="1:12" hidden="1">
      <c r="A48" s="118"/>
      <c r="B48" s="32" t="str">
        <f>B32</f>
        <v>Air Conditioner</v>
      </c>
      <c r="C48" s="119"/>
      <c r="D48" s="119"/>
      <c r="E48" s="119"/>
      <c r="F48" s="120"/>
      <c r="H48" s="117">
        <f>F17-F32</f>
        <v>0</v>
      </c>
      <c r="I48" s="92"/>
      <c r="J48" s="92"/>
      <c r="K48" s="32"/>
      <c r="L48" s="326">
        <f>L17-L32</f>
        <v>0</v>
      </c>
    </row>
    <row r="49" spans="1:12">
      <c r="A49" s="118"/>
      <c r="B49" s="32" t="str">
        <f>B33</f>
        <v>Furniture &amp; Fittings</v>
      </c>
      <c r="C49" s="119"/>
      <c r="D49" s="119"/>
      <c r="E49" s="119"/>
      <c r="F49" s="120"/>
      <c r="H49" s="117">
        <f>F18-F33</f>
        <v>2560</v>
      </c>
      <c r="I49" s="92"/>
      <c r="J49" s="92"/>
      <c r="K49" s="32"/>
      <c r="L49" s="326">
        <f>L18-L33</f>
        <v>2048</v>
      </c>
    </row>
    <row r="50" spans="1:12" hidden="1">
      <c r="A50" s="118"/>
      <c r="B50" s="32" t="str">
        <f>B34</f>
        <v>Compressor</v>
      </c>
      <c r="C50" s="119"/>
      <c r="D50" s="119"/>
      <c r="E50" s="119"/>
      <c r="F50" s="120"/>
      <c r="H50" s="117">
        <f>F19-F34</f>
        <v>0</v>
      </c>
      <c r="I50" s="92"/>
      <c r="J50" s="92"/>
      <c r="K50" s="32"/>
      <c r="L50" s="326">
        <f>L19-L34</f>
        <v>0</v>
      </c>
    </row>
    <row r="51" spans="1:12" hidden="1">
      <c r="A51" s="118"/>
      <c r="B51" s="32" t="str">
        <f>B35</f>
        <v>Chem. Warehse &amp; Con.Office</v>
      </c>
      <c r="C51" s="119"/>
      <c r="D51" s="119"/>
      <c r="E51" s="119"/>
      <c r="F51" s="120"/>
      <c r="H51" s="117">
        <f>F20-F35</f>
        <v>0</v>
      </c>
      <c r="I51" s="92"/>
      <c r="J51" s="92"/>
      <c r="K51" s="32"/>
      <c r="L51" s="326">
        <f>L20-L35</f>
        <v>0</v>
      </c>
    </row>
    <row r="52" spans="1:12">
      <c r="A52" s="118"/>
      <c r="B52" s="32"/>
      <c r="C52" s="119"/>
      <c r="D52" s="119"/>
      <c r="E52" s="119"/>
      <c r="F52" s="120"/>
      <c r="H52" s="117"/>
      <c r="I52" s="92"/>
      <c r="J52" s="92"/>
      <c r="K52" s="32"/>
      <c r="L52" s="326"/>
    </row>
    <row r="53" spans="1:12" ht="15" thickBot="1">
      <c r="B53" s="32"/>
      <c r="C53" s="123"/>
      <c r="D53" s="123"/>
      <c r="E53" s="123"/>
      <c r="F53" s="123"/>
      <c r="G53" s="123"/>
      <c r="H53" s="290">
        <f t="shared" ref="H53:L53" si="4">SUM(H42:H52)</f>
        <v>84449.279999999999</v>
      </c>
      <c r="I53" s="291">
        <f t="shared" si="4"/>
        <v>0</v>
      </c>
      <c r="J53" s="291">
        <f t="shared" si="4"/>
        <v>9.9999999999999998E-20</v>
      </c>
      <c r="K53" s="291">
        <f t="shared" si="4"/>
        <v>0</v>
      </c>
      <c r="L53" s="484">
        <f t="shared" si="4"/>
        <v>69559.428000000014</v>
      </c>
    </row>
    <row r="54" spans="1:12" ht="15" thickTop="1">
      <c r="B54" s="32"/>
    </row>
    <row r="61" spans="1:12">
      <c r="A61" s="118"/>
      <c r="B61" s="119"/>
      <c r="C61" s="119"/>
      <c r="D61" s="119"/>
      <c r="E61" s="119"/>
      <c r="F61" s="120"/>
      <c r="K61" s="119"/>
    </row>
    <row r="62" spans="1:12">
      <c r="A62" s="118"/>
      <c r="B62" s="119"/>
      <c r="C62" s="119"/>
      <c r="D62" s="119"/>
      <c r="E62" s="119"/>
      <c r="F62" s="120"/>
      <c r="H62" s="119"/>
      <c r="I62" s="119"/>
      <c r="J62" s="119"/>
      <c r="K62" s="119"/>
    </row>
  </sheetData>
  <mergeCells count="3">
    <mergeCell ref="A1:L1"/>
    <mergeCell ref="A2:L2"/>
    <mergeCell ref="A3:L3"/>
  </mergeCells>
  <printOptions horizontalCentered="1"/>
  <pageMargins left="0.7" right="0.7" top="0.75" bottom="0.75" header="0.3" footer="0.3"/>
  <pageSetup paperSize="9" scale="96" orientation="portrait" r:id="rId1"/>
  <headerFooter>
    <oddFooter>&amp;C14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52602-635F-4B19-866C-5796CA47A8EA}">
  <dimension ref="A1:Q57"/>
  <sheetViews>
    <sheetView zoomScaleNormal="100" workbookViewId="0">
      <selection activeCell="H42" sqref="H42"/>
    </sheetView>
  </sheetViews>
  <sheetFormatPr defaultColWidth="9.1796875" defaultRowHeight="14.5"/>
  <cols>
    <col min="1" max="1" width="6.453125" style="305" customWidth="1"/>
    <col min="2" max="3" width="8.81640625" style="32"/>
    <col min="4" max="4" width="6" style="32" customWidth="1"/>
    <col min="5" max="5" width="8.81640625" style="32"/>
    <col min="6" max="6" width="11.54296875" style="32" bestFit="1" customWidth="1"/>
    <col min="7" max="7" width="6.54296875" style="32" customWidth="1"/>
    <col min="8" max="8" width="12.7265625" style="32" bestFit="1" customWidth="1"/>
    <col min="9" max="9" width="1.81640625" style="326" customWidth="1"/>
    <col min="10" max="10" width="12.453125" style="32" bestFit="1" customWidth="1"/>
    <col min="11" max="11" width="12.7265625" style="120" bestFit="1" customWidth="1"/>
    <col min="12" max="12" width="10.54296875" style="309" bestFit="1" customWidth="1"/>
    <col min="13" max="13" width="1.81640625" style="309" bestFit="1" customWidth="1"/>
    <col min="14" max="14" width="12.54296875" style="309" bestFit="1" customWidth="1"/>
    <col min="15" max="15" width="11.26953125" style="309" bestFit="1" customWidth="1"/>
    <col min="16" max="16" width="14.26953125" style="309" bestFit="1" customWidth="1"/>
    <col min="17" max="17" width="12.7265625" style="309" bestFit="1" customWidth="1"/>
    <col min="18" max="16384" width="9.1796875" style="309"/>
  </cols>
  <sheetData>
    <row r="1" spans="1:17">
      <c r="E1" s="57" t="str">
        <f>'N6'!A1</f>
        <v>MES CONTRACTING AND TRADING LTD</v>
      </c>
    </row>
    <row r="2" spans="1:17" ht="18">
      <c r="A2" s="543" t="s">
        <v>132</v>
      </c>
      <c r="B2" s="543"/>
      <c r="C2" s="543"/>
      <c r="D2" s="543"/>
      <c r="E2" s="543"/>
      <c r="F2" s="543"/>
      <c r="G2" s="543"/>
      <c r="H2" s="543"/>
      <c r="I2" s="543"/>
      <c r="J2" s="543"/>
      <c r="K2" s="312"/>
    </row>
    <row r="3" spans="1:17" ht="15.5">
      <c r="A3" s="543" t="str">
        <f>+SCF!A3</f>
        <v>FOR THE YEAR ENDED 31 DECEMBER 2023</v>
      </c>
      <c r="B3" s="543"/>
      <c r="C3" s="543"/>
      <c r="D3" s="543"/>
      <c r="E3" s="543"/>
      <c r="F3" s="543"/>
      <c r="G3" s="543"/>
      <c r="H3" s="543"/>
      <c r="I3" s="543"/>
      <c r="J3" s="543"/>
      <c r="K3" s="56"/>
      <c r="Q3" s="485"/>
    </row>
    <row r="4" spans="1:17" ht="15.5">
      <c r="K4" s="56"/>
      <c r="Q4" s="486"/>
    </row>
    <row r="5" spans="1:17">
      <c r="H5" s="487">
        <f>+SCF!F5</f>
        <v>2023</v>
      </c>
      <c r="I5" s="487"/>
      <c r="J5" s="488">
        <f>+SCF!H5</f>
        <v>2022</v>
      </c>
      <c r="Q5" s="440"/>
    </row>
    <row r="6" spans="1:17" ht="15.5">
      <c r="H6" s="92" t="s">
        <v>34</v>
      </c>
      <c r="I6" s="305"/>
      <c r="J6" s="97" t="s">
        <v>34</v>
      </c>
      <c r="K6" s="232"/>
      <c r="Q6" s="440"/>
    </row>
    <row r="7" spans="1:17" ht="15.5">
      <c r="A7" s="65">
        <v>7</v>
      </c>
      <c r="B7" s="57" t="s">
        <v>191</v>
      </c>
      <c r="F7" s="309"/>
      <c r="G7" s="309"/>
      <c r="H7" s="326"/>
      <c r="I7" s="32"/>
      <c r="J7" s="120"/>
      <c r="K7" s="232"/>
      <c r="Q7" s="440"/>
    </row>
    <row r="8" spans="1:17">
      <c r="A8" s="65"/>
      <c r="B8" s="57"/>
      <c r="F8" s="309"/>
      <c r="G8" s="309"/>
      <c r="H8" s="326"/>
      <c r="I8" s="32"/>
      <c r="J8" s="120"/>
    </row>
    <row r="9" spans="1:17">
      <c r="A9" s="65"/>
      <c r="B9" s="32" t="s">
        <v>508</v>
      </c>
      <c r="F9" s="309"/>
      <c r="G9" s="309"/>
      <c r="H9" s="326">
        <f>'N 3-5'!H31</f>
        <v>6609000</v>
      </c>
      <c r="I9" s="32"/>
      <c r="J9" s="120">
        <f>'N 3-5'!J31</f>
        <v>1320700</v>
      </c>
    </row>
    <row r="10" spans="1:17">
      <c r="F10" s="309"/>
      <c r="G10" s="309"/>
      <c r="H10" s="360"/>
      <c r="I10" s="32"/>
      <c r="J10" s="489"/>
      <c r="Q10" s="440"/>
    </row>
    <row r="11" spans="1:17">
      <c r="F11" s="309"/>
      <c r="G11" s="309"/>
      <c r="H11" s="104"/>
      <c r="I11" s="32"/>
      <c r="J11" s="490"/>
      <c r="Q11" s="440"/>
    </row>
    <row r="12" spans="1:17">
      <c r="B12" s="57"/>
      <c r="F12" s="309"/>
      <c r="G12" s="309"/>
      <c r="H12" s="491">
        <f>SUM(H9:H11)</f>
        <v>6609000</v>
      </c>
      <c r="I12" s="32"/>
      <c r="J12" s="491">
        <f>SUM(J9:J11)</f>
        <v>1320700</v>
      </c>
      <c r="Q12" s="440"/>
    </row>
    <row r="13" spans="1:17" ht="15" thickBot="1">
      <c r="F13" s="309"/>
      <c r="G13" s="309"/>
      <c r="H13" s="107"/>
      <c r="I13" s="32"/>
      <c r="J13" s="108"/>
      <c r="Q13" s="440"/>
    </row>
    <row r="14" spans="1:17" ht="5.5" customHeight="1" thickTop="1">
      <c r="A14" s="306"/>
      <c r="B14" s="109"/>
      <c r="C14" s="124"/>
      <c r="D14" s="124"/>
      <c r="E14" s="124"/>
      <c r="H14" s="104"/>
      <c r="I14" s="309"/>
      <c r="J14" s="105"/>
      <c r="Q14" s="440"/>
    </row>
    <row r="15" spans="1:17">
      <c r="A15" s="306"/>
      <c r="B15" s="109"/>
      <c r="C15" s="124"/>
      <c r="D15" s="124"/>
      <c r="E15" s="124"/>
      <c r="H15" s="104"/>
      <c r="I15" s="309"/>
      <c r="J15" s="105"/>
      <c r="L15" s="411"/>
      <c r="Q15" s="440"/>
    </row>
    <row r="16" spans="1:17">
      <c r="A16" s="65">
        <v>8</v>
      </c>
      <c r="B16" s="57" t="s">
        <v>192</v>
      </c>
      <c r="H16" s="352"/>
      <c r="I16" s="32"/>
      <c r="J16" s="492"/>
      <c r="Q16" s="440"/>
    </row>
    <row r="17" spans="1:17">
      <c r="A17" s="65"/>
      <c r="H17" s="352"/>
      <c r="I17" s="32"/>
      <c r="J17" s="492"/>
      <c r="Q17" s="101"/>
    </row>
    <row r="18" spans="1:17">
      <c r="A18" s="65"/>
      <c r="B18" s="32" t="s">
        <v>193</v>
      </c>
      <c r="H18" s="47"/>
      <c r="I18" s="32"/>
      <c r="J18" s="492">
        <v>120900</v>
      </c>
      <c r="Q18" s="101"/>
    </row>
    <row r="19" spans="1:17">
      <c r="B19" s="32" t="s">
        <v>528</v>
      </c>
      <c r="H19" s="378">
        <v>468734.37258478068</v>
      </c>
      <c r="I19" s="32"/>
      <c r="J19" s="439"/>
      <c r="M19" s="413"/>
      <c r="Q19" s="101"/>
    </row>
    <row r="20" spans="1:17">
      <c r="H20" s="493"/>
      <c r="I20" s="32"/>
      <c r="J20" s="494"/>
      <c r="M20" s="413"/>
      <c r="Q20" s="440"/>
    </row>
    <row r="21" spans="1:17">
      <c r="B21" s="57"/>
      <c r="H21" s="104">
        <f>SUM(H18:H19)</f>
        <v>468734.37258478068</v>
      </c>
      <c r="I21" s="440"/>
      <c r="J21" s="105">
        <f>SUM(J18:J19)</f>
        <v>120900</v>
      </c>
      <c r="M21" s="413"/>
      <c r="Q21" s="440"/>
    </row>
    <row r="22" spans="1:17" ht="15" thickBot="1">
      <c r="H22" s="333"/>
      <c r="I22" s="32"/>
      <c r="J22" s="334"/>
      <c r="M22" s="413"/>
      <c r="Q22" s="440"/>
    </row>
    <row r="23" spans="1:17" ht="3" customHeight="1" thickTop="1">
      <c r="B23" s="57"/>
      <c r="H23" s="67"/>
      <c r="I23" s="32"/>
      <c r="J23" s="67"/>
      <c r="Q23" s="495"/>
    </row>
    <row r="24" spans="1:17" ht="11.25" customHeight="1">
      <c r="H24" s="67"/>
      <c r="I24" s="32"/>
      <c r="J24" s="67"/>
      <c r="Q24" s="440"/>
    </row>
    <row r="25" spans="1:17">
      <c r="A25" s="65">
        <v>9</v>
      </c>
      <c r="B25" s="57" t="s">
        <v>194</v>
      </c>
      <c r="H25" s="67"/>
      <c r="I25" s="32"/>
      <c r="J25" s="67"/>
      <c r="Q25" s="440"/>
    </row>
    <row r="26" spans="1:17">
      <c r="H26" s="67"/>
      <c r="I26" s="32"/>
      <c r="J26" s="67"/>
      <c r="Q26" s="440"/>
    </row>
    <row r="27" spans="1:17">
      <c r="H27" s="455"/>
      <c r="I27" s="32"/>
      <c r="J27" s="47"/>
      <c r="Q27" s="440"/>
    </row>
    <row r="28" spans="1:17">
      <c r="I28" s="32"/>
      <c r="J28" s="66"/>
      <c r="Q28" s="440"/>
    </row>
    <row r="29" spans="1:17" s="242" customFormat="1" ht="15.5">
      <c r="B29" s="496" t="s">
        <v>311</v>
      </c>
      <c r="E29" s="243"/>
      <c r="F29" s="244"/>
    </row>
    <row r="30" spans="1:17" s="242" customFormat="1" ht="15.5" hidden="1">
      <c r="B30" s="242" t="s">
        <v>312</v>
      </c>
      <c r="H30" s="270"/>
      <c r="J30" s="244"/>
    </row>
    <row r="31" spans="1:17" s="242" customFormat="1" ht="15.5" hidden="1">
      <c r="B31" s="242" t="s">
        <v>313</v>
      </c>
      <c r="H31" s="270"/>
      <c r="J31" s="244"/>
    </row>
    <row r="32" spans="1:17" s="242" customFormat="1" ht="15.5" hidden="1">
      <c r="B32" s="242" t="s">
        <v>314</v>
      </c>
      <c r="H32" s="270"/>
      <c r="J32" s="244"/>
    </row>
    <row r="33" spans="1:17" s="242" customFormat="1" ht="15.5" hidden="1">
      <c r="B33" s="242" t="s">
        <v>316</v>
      </c>
      <c r="H33" s="270"/>
      <c r="J33" s="244"/>
    </row>
    <row r="34" spans="1:17" s="242" customFormat="1" ht="15.5">
      <c r="B34" s="242" t="s">
        <v>317</v>
      </c>
      <c r="H34" s="207">
        <v>14757.16</v>
      </c>
      <c r="J34" s="244">
        <v>24048</v>
      </c>
    </row>
    <row r="35" spans="1:17" s="242" customFormat="1" ht="15.5">
      <c r="B35" s="242" t="s">
        <v>318</v>
      </c>
      <c r="H35" s="207">
        <f>348699*12</f>
        <v>4184388</v>
      </c>
      <c r="J35" s="244"/>
    </row>
    <row r="36" spans="1:17" s="242" customFormat="1" ht="15.5">
      <c r="B36" s="242" t="s">
        <v>509</v>
      </c>
      <c r="H36" s="207"/>
      <c r="J36" s="250">
        <v>1200</v>
      </c>
    </row>
    <row r="37" spans="1:17" s="242" customFormat="1" ht="15.5" hidden="1">
      <c r="B37" s="242" t="s">
        <v>320</v>
      </c>
      <c r="H37" s="270"/>
      <c r="J37" s="250"/>
    </row>
    <row r="38" spans="1:17" s="242" customFormat="1" ht="15.5" hidden="1">
      <c r="B38" s="242" t="s">
        <v>321</v>
      </c>
      <c r="H38" s="270"/>
      <c r="J38" s="250"/>
    </row>
    <row r="39" spans="1:17" s="242" customFormat="1" ht="15.5" hidden="1">
      <c r="B39" s="242" t="s">
        <v>322</v>
      </c>
      <c r="H39" s="270"/>
      <c r="J39" s="250"/>
    </row>
    <row r="40" spans="1:17">
      <c r="H40" s="67">
        <v>0</v>
      </c>
      <c r="I40" s="32"/>
      <c r="J40" s="67">
        <v>0</v>
      </c>
      <c r="Q40" s="440"/>
    </row>
    <row r="41" spans="1:17" ht="6.65" customHeight="1">
      <c r="H41" s="328"/>
      <c r="I41" s="32"/>
      <c r="J41" s="328"/>
      <c r="Q41" s="440"/>
    </row>
    <row r="42" spans="1:17">
      <c r="H42" s="66">
        <f>SUM(H28:H41)</f>
        <v>4199145.16</v>
      </c>
      <c r="I42" s="32"/>
      <c r="J42" s="67">
        <f>SUM(J28:J41)</f>
        <v>25248</v>
      </c>
      <c r="Q42" s="440"/>
    </row>
    <row r="43" spans="1:17" ht="6" customHeight="1" thickBot="1">
      <c r="H43" s="334"/>
      <c r="I43" s="32"/>
      <c r="J43" s="334"/>
      <c r="Q43" s="440"/>
    </row>
    <row r="44" spans="1:17" ht="7.9" customHeight="1" thickTop="1">
      <c r="H44" s="67"/>
      <c r="I44" s="32"/>
      <c r="J44" s="67"/>
      <c r="Q44" s="440"/>
    </row>
    <row r="45" spans="1:17">
      <c r="A45" s="306">
        <v>9.1</v>
      </c>
      <c r="B45" s="57" t="s">
        <v>384</v>
      </c>
      <c r="H45" s="67"/>
      <c r="I45" s="32"/>
      <c r="J45" s="67"/>
      <c r="Q45" s="440"/>
    </row>
    <row r="46" spans="1:17" ht="15" thickBot="1">
      <c r="B46" s="32" t="s">
        <v>454</v>
      </c>
      <c r="H46" s="334">
        <f>'NOTE 10-13'!E50</f>
        <v>0</v>
      </c>
      <c r="I46" s="32"/>
      <c r="J46" s="334"/>
      <c r="Q46" s="440"/>
    </row>
    <row r="47" spans="1:17" ht="10.5" customHeight="1" thickTop="1">
      <c r="H47" s="67"/>
      <c r="I47" s="32"/>
      <c r="J47" s="67"/>
      <c r="Q47" s="440"/>
    </row>
    <row r="48" spans="1:17" ht="7.5" customHeight="1">
      <c r="H48" s="67"/>
      <c r="I48" s="32"/>
      <c r="J48" s="67"/>
      <c r="Q48" s="440"/>
    </row>
    <row r="49" spans="1:17">
      <c r="A49" s="65">
        <v>10</v>
      </c>
      <c r="B49" s="57" t="s">
        <v>196</v>
      </c>
      <c r="H49" s="67"/>
      <c r="I49" s="32"/>
      <c r="J49" s="67"/>
      <c r="Q49" s="440"/>
    </row>
    <row r="50" spans="1:17" ht="9" customHeight="1">
      <c r="A50" s="65"/>
      <c r="B50" s="57"/>
      <c r="H50" s="67"/>
      <c r="I50" s="32"/>
      <c r="J50" s="67"/>
      <c r="L50" s="423"/>
      <c r="Q50" s="101"/>
    </row>
    <row r="51" spans="1:17" ht="17.5" customHeight="1">
      <c r="B51" s="32" t="s">
        <v>197</v>
      </c>
      <c r="H51" s="352"/>
      <c r="I51" s="32"/>
      <c r="J51" s="492"/>
      <c r="L51" s="423"/>
      <c r="Q51" s="101"/>
    </row>
    <row r="52" spans="1:17">
      <c r="B52" s="32" t="s">
        <v>455</v>
      </c>
      <c r="H52" s="352">
        <v>0</v>
      </c>
      <c r="I52" s="32"/>
      <c r="J52" s="47">
        <v>560870</v>
      </c>
      <c r="Q52" s="440"/>
    </row>
    <row r="53" spans="1:17">
      <c r="H53" s="352"/>
      <c r="I53" s="32"/>
      <c r="J53" s="492"/>
      <c r="N53" s="423"/>
      <c r="Q53" s="440"/>
    </row>
    <row r="54" spans="1:17" ht="6" customHeight="1">
      <c r="H54" s="356"/>
      <c r="I54" s="32"/>
      <c r="J54" s="443"/>
      <c r="Q54" s="440"/>
    </row>
    <row r="55" spans="1:17">
      <c r="H55" s="104">
        <f>SUM(H51:H53)</f>
        <v>0</v>
      </c>
      <c r="I55" s="32"/>
      <c r="J55" s="105">
        <f>SUM(J51:J53)</f>
        <v>560870</v>
      </c>
      <c r="Q55" s="440"/>
    </row>
    <row r="56" spans="1:17" ht="15" thickBot="1">
      <c r="H56" s="107"/>
      <c r="I56" s="32"/>
      <c r="J56" s="108"/>
      <c r="L56" s="423"/>
      <c r="Q56" s="158"/>
    </row>
    <row r="57" spans="1:17" ht="6.65" customHeight="1" thickTop="1">
      <c r="H57" s="480"/>
      <c r="I57" s="32"/>
      <c r="J57" s="490"/>
    </row>
  </sheetData>
  <mergeCells count="2">
    <mergeCell ref="A2:J2"/>
    <mergeCell ref="A3:J3"/>
  </mergeCells>
  <printOptions horizontalCentered="1"/>
  <pageMargins left="0.7" right="0.33" top="0.41" bottom="0.75" header="0.3" footer="0.3"/>
  <pageSetup paperSize="9" orientation="portrait" r:id="rId1"/>
  <headerFooter>
    <oddFooter>&amp;C15</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BFEC3-A9F3-40E2-8C1B-5ED26C3534BF}">
  <dimension ref="A1:L98"/>
  <sheetViews>
    <sheetView view="pageLayout" zoomScaleNormal="100" workbookViewId="0">
      <selection activeCell="H18" sqref="H18"/>
    </sheetView>
  </sheetViews>
  <sheetFormatPr defaultColWidth="10.7265625" defaultRowHeight="15.5"/>
  <cols>
    <col min="1" max="1" width="5.1796875" style="461" customWidth="1"/>
    <col min="2" max="2" width="14.81640625" style="154" customWidth="1"/>
    <col min="3" max="3" width="15.1796875" style="154" customWidth="1"/>
    <col min="4" max="4" width="7.54296875" style="154" customWidth="1"/>
    <col min="5" max="5" width="4" style="154" customWidth="1"/>
    <col min="6" max="6" width="13.26953125" style="154" customWidth="1"/>
    <col min="7" max="7" width="2.26953125" style="154" customWidth="1"/>
    <col min="8" max="8" width="13.7265625" style="154" bestFit="1" customWidth="1"/>
    <col min="9" max="9" width="11.7265625" style="154" customWidth="1"/>
    <col min="10" max="16384" width="10.7265625" style="154"/>
  </cols>
  <sheetData>
    <row r="1" spans="1:12">
      <c r="A1" s="565" t="str">
        <f>'N7-11'!E1</f>
        <v>MES CONTRACTING AND TRADING LTD</v>
      </c>
      <c r="B1" s="565"/>
      <c r="C1" s="565"/>
      <c r="D1" s="565"/>
      <c r="E1" s="565"/>
      <c r="F1" s="565"/>
      <c r="G1" s="565"/>
      <c r="H1" s="565"/>
    </row>
    <row r="2" spans="1:12">
      <c r="A2" s="565" t="s">
        <v>132</v>
      </c>
      <c r="B2" s="565"/>
      <c r="C2" s="565"/>
      <c r="D2" s="565"/>
      <c r="E2" s="565"/>
      <c r="F2" s="565"/>
      <c r="G2" s="565"/>
      <c r="H2" s="565"/>
    </row>
    <row r="3" spans="1:12">
      <c r="A3" s="565" t="str">
        <f>+'N7-11'!A3:J3</f>
        <v>FOR THE YEAR ENDED 31 DECEMBER 2023</v>
      </c>
      <c r="B3" s="565"/>
      <c r="C3" s="565"/>
      <c r="D3" s="565"/>
      <c r="E3" s="565"/>
      <c r="F3" s="565"/>
      <c r="G3" s="565"/>
      <c r="H3" s="565"/>
    </row>
    <row r="4" spans="1:12" ht="7.9" customHeight="1">
      <c r="A4" s="456"/>
      <c r="B4" s="456"/>
      <c r="C4" s="456"/>
      <c r="D4" s="456"/>
      <c r="E4" s="456"/>
      <c r="F4" s="456"/>
      <c r="G4" s="456"/>
      <c r="H4" s="457"/>
    </row>
    <row r="5" spans="1:12">
      <c r="A5" s="456"/>
      <c r="B5" s="456"/>
      <c r="C5" s="456"/>
      <c r="D5" s="456"/>
      <c r="E5" s="456"/>
      <c r="F5" s="458" t="s">
        <v>478</v>
      </c>
      <c r="G5" s="459">
        <f>+'[3]N12-16'!H5</f>
        <v>0</v>
      </c>
      <c r="H5" s="460" t="s">
        <v>33</v>
      </c>
    </row>
    <row r="6" spans="1:12">
      <c r="D6" s="456"/>
      <c r="E6" s="456"/>
      <c r="F6" s="462" t="str">
        <f>+'[3]N12-16'!G7</f>
        <v>GH¢</v>
      </c>
      <c r="G6" s="459">
        <f>+'[3]N12-16'!H6</f>
        <v>0</v>
      </c>
      <c r="H6" s="463" t="str">
        <f>+'[3]N12-16'!I7</f>
        <v>GH¢</v>
      </c>
    </row>
    <row r="7" spans="1:12" ht="7.15" customHeight="1"/>
    <row r="8" spans="1:12" s="309" customFormat="1" ht="14.5">
      <c r="A8" s="134">
        <v>12</v>
      </c>
      <c r="B8" s="57" t="s">
        <v>199</v>
      </c>
      <c r="C8" s="57"/>
      <c r="D8" s="57"/>
      <c r="E8" s="32"/>
      <c r="F8" s="135" t="s">
        <v>200</v>
      </c>
      <c r="G8" s="32"/>
      <c r="H8" s="136" t="s">
        <v>200</v>
      </c>
      <c r="L8" s="464"/>
    </row>
    <row r="9" spans="1:12" s="309" customFormat="1" ht="7.9" customHeight="1">
      <c r="A9" s="134"/>
      <c r="B9" s="138"/>
      <c r="C9" s="32"/>
      <c r="D9" s="32"/>
      <c r="E9" s="32"/>
      <c r="F9" s="32"/>
      <c r="G9" s="32"/>
      <c r="H9" s="32"/>
      <c r="L9" s="464"/>
    </row>
    <row r="10" spans="1:12" s="309" customFormat="1" ht="14.5">
      <c r="A10" s="134"/>
      <c r="B10" s="139" t="s">
        <v>201</v>
      </c>
      <c r="C10" s="140"/>
      <c r="D10" s="140"/>
      <c r="E10" s="32"/>
      <c r="F10" s="141"/>
      <c r="G10" s="32"/>
      <c r="H10" s="142"/>
      <c r="L10" s="464"/>
    </row>
    <row r="11" spans="1:12" s="309" customFormat="1" ht="7.15" customHeight="1">
      <c r="A11" s="134"/>
      <c r="B11" s="139"/>
      <c r="C11" s="140"/>
      <c r="D11" s="140"/>
      <c r="E11" s="32"/>
      <c r="F11" s="32"/>
      <c r="G11" s="32"/>
      <c r="H11" s="32"/>
      <c r="L11" s="464"/>
    </row>
    <row r="12" spans="1:12" s="309" customFormat="1" ht="14.5">
      <c r="A12" s="134"/>
      <c r="B12" s="32" t="s">
        <v>202</v>
      </c>
      <c r="C12" s="32"/>
      <c r="D12" s="32"/>
      <c r="E12" s="32"/>
      <c r="F12" s="143">
        <v>1000000</v>
      </c>
      <c r="G12" s="32"/>
      <c r="H12" s="144">
        <v>1000000</v>
      </c>
      <c r="L12" s="464"/>
    </row>
    <row r="13" spans="1:12" s="309" customFormat="1" ht="9" customHeight="1" thickBot="1">
      <c r="A13" s="134"/>
      <c r="B13" s="71"/>
      <c r="F13" s="145"/>
      <c r="G13" s="143"/>
      <c r="H13" s="146"/>
      <c r="L13" s="464"/>
    </row>
    <row r="14" spans="1:12" s="309" customFormat="1" ht="15" thickTop="1">
      <c r="A14" s="134"/>
      <c r="B14" s="71"/>
      <c r="F14" s="64"/>
      <c r="G14" s="143"/>
      <c r="H14" s="144"/>
      <c r="L14" s="464"/>
    </row>
    <row r="15" spans="1:12" s="309" customFormat="1" ht="7.9" customHeight="1">
      <c r="A15" s="134"/>
      <c r="B15" s="71"/>
      <c r="F15" s="64"/>
      <c r="G15" s="143"/>
      <c r="H15" s="144"/>
      <c r="L15" s="464"/>
    </row>
    <row r="16" spans="1:12" s="309" customFormat="1" ht="14.5">
      <c r="A16" s="134"/>
      <c r="B16" s="57" t="s">
        <v>203</v>
      </c>
      <c r="C16" s="32"/>
      <c r="D16" s="32"/>
      <c r="E16" s="32"/>
      <c r="F16" s="32"/>
      <c r="G16" s="32"/>
      <c r="H16" s="147"/>
      <c r="L16" s="464"/>
    </row>
    <row r="17" spans="1:12" s="309" customFormat="1" ht="5.5" customHeight="1">
      <c r="A17" s="134"/>
      <c r="B17" s="32"/>
      <c r="C17" s="32"/>
      <c r="D17" s="32"/>
      <c r="E17" s="32"/>
      <c r="F17" s="32"/>
      <c r="G17" s="32"/>
      <c r="H17" s="147"/>
      <c r="L17" s="464"/>
    </row>
    <row r="18" spans="1:12" s="309" customFormat="1" ht="14.5">
      <c r="A18" s="134"/>
      <c r="B18" s="32" t="s">
        <v>202</v>
      </c>
      <c r="C18" s="32"/>
      <c r="D18" s="32"/>
      <c r="E18" s="32"/>
      <c r="F18" s="143">
        <v>625000</v>
      </c>
      <c r="G18" s="32"/>
      <c r="H18" s="144">
        <v>625000</v>
      </c>
      <c r="L18" s="464"/>
    </row>
    <row r="19" spans="1:12" s="309" customFormat="1" ht="6" customHeight="1" thickBot="1">
      <c r="A19" s="134"/>
      <c r="B19" s="32"/>
      <c r="C19" s="32"/>
      <c r="D19" s="32"/>
      <c r="E19" s="32"/>
      <c r="F19" s="148"/>
      <c r="G19" s="32"/>
      <c r="H19" s="149"/>
      <c r="L19" s="464"/>
    </row>
    <row r="20" spans="1:12" s="309" customFormat="1" ht="15" thickTop="1">
      <c r="A20" s="134"/>
      <c r="B20" s="32"/>
      <c r="C20" s="32"/>
      <c r="D20" s="32"/>
      <c r="E20" s="32"/>
      <c r="F20" s="32"/>
      <c r="G20" s="32"/>
      <c r="H20" s="150"/>
      <c r="L20" s="464"/>
    </row>
    <row r="21" spans="1:12" s="309" customFormat="1" ht="14.5">
      <c r="A21" s="134"/>
      <c r="B21" s="32"/>
      <c r="C21" s="32"/>
      <c r="D21" s="32"/>
      <c r="E21" s="32"/>
      <c r="F21" s="135" t="s">
        <v>204</v>
      </c>
      <c r="G21" s="32"/>
      <c r="H21" s="136" t="s">
        <v>204</v>
      </c>
      <c r="L21" s="464"/>
    </row>
    <row r="22" spans="1:12" s="309" customFormat="1" ht="4.1500000000000004" customHeight="1">
      <c r="A22" s="134"/>
      <c r="B22" s="32"/>
      <c r="C22" s="32"/>
      <c r="D22" s="32"/>
      <c r="E22" s="32"/>
      <c r="F22" s="135"/>
      <c r="G22" s="32"/>
      <c r="H22" s="136"/>
      <c r="L22" s="464"/>
    </row>
    <row r="23" spans="1:12" s="309" customFormat="1" ht="14.5">
      <c r="A23" s="134"/>
      <c r="B23" s="32"/>
      <c r="C23" s="32"/>
      <c r="D23" s="32"/>
      <c r="E23" s="151"/>
      <c r="F23" s="143" t="s">
        <v>34</v>
      </c>
      <c r="G23" s="32"/>
      <c r="H23" s="144" t="s">
        <v>34</v>
      </c>
      <c r="L23" s="464"/>
    </row>
    <row r="24" spans="1:12" s="309" customFormat="1" ht="3.65" customHeight="1">
      <c r="A24" s="134"/>
      <c r="B24" s="32"/>
      <c r="C24" s="32"/>
      <c r="D24" s="32"/>
      <c r="E24" s="32"/>
      <c r="F24" s="152"/>
      <c r="G24" s="32"/>
      <c r="H24" s="147"/>
      <c r="L24" s="464"/>
    </row>
    <row r="25" spans="1:12" s="309" customFormat="1" ht="14.5">
      <c r="A25" s="134"/>
      <c r="B25" s="32" t="s">
        <v>205</v>
      </c>
      <c r="C25" s="32"/>
      <c r="D25" s="32"/>
      <c r="E25" s="32"/>
      <c r="F25" s="143">
        <v>625000</v>
      </c>
      <c r="G25" s="32"/>
      <c r="H25" s="144">
        <v>625000</v>
      </c>
      <c r="L25" s="464"/>
    </row>
    <row r="26" spans="1:12" s="309" customFormat="1" ht="5.5" customHeight="1" thickBot="1">
      <c r="A26" s="134"/>
      <c r="B26" s="32"/>
      <c r="C26" s="32"/>
      <c r="D26" s="32"/>
      <c r="E26" s="32"/>
      <c r="F26" s="148"/>
      <c r="G26" s="32"/>
      <c r="H26" s="149"/>
      <c r="L26" s="464"/>
    </row>
    <row r="27" spans="1:12" s="309" customFormat="1" ht="15" thickTop="1">
      <c r="A27" s="134"/>
      <c r="B27" s="32"/>
      <c r="C27" s="32"/>
      <c r="D27" s="32"/>
      <c r="E27" s="32"/>
      <c r="F27" s="153"/>
      <c r="G27" s="32"/>
      <c r="H27" s="147"/>
      <c r="L27" s="464"/>
    </row>
    <row r="28" spans="1:12" s="309" customFormat="1" ht="14.5">
      <c r="A28" s="134"/>
      <c r="B28" s="561" t="s">
        <v>206</v>
      </c>
      <c r="C28" s="561"/>
      <c r="D28" s="561"/>
      <c r="E28" s="561"/>
      <c r="F28" s="561"/>
      <c r="G28" s="561"/>
      <c r="H28" s="561"/>
      <c r="L28" s="464"/>
    </row>
    <row r="29" spans="1:12" s="309" customFormat="1" ht="14.5">
      <c r="A29" s="134"/>
      <c r="B29" s="71"/>
      <c r="F29" s="64"/>
      <c r="G29" s="143"/>
      <c r="H29" s="144"/>
      <c r="L29" s="464"/>
    </row>
    <row r="30" spans="1:12" s="309" customFormat="1" ht="14.5">
      <c r="A30" s="134"/>
      <c r="B30" s="71"/>
      <c r="F30" s="64"/>
      <c r="G30" s="143"/>
      <c r="H30" s="144"/>
      <c r="L30" s="464"/>
    </row>
    <row r="31" spans="1:12" s="309" customFormat="1" ht="4.1500000000000004" customHeight="1">
      <c r="A31" s="134"/>
      <c r="B31" s="71"/>
      <c r="F31" s="64"/>
      <c r="G31" s="143"/>
      <c r="H31" s="144"/>
      <c r="L31" s="464"/>
    </row>
    <row r="32" spans="1:12">
      <c r="A32" s="306">
        <v>13</v>
      </c>
      <c r="B32" s="57" t="s">
        <v>207</v>
      </c>
      <c r="C32" s="32"/>
    </row>
    <row r="33" spans="1:12" ht="5.5" customHeight="1">
      <c r="A33" s="306"/>
      <c r="B33" s="57"/>
      <c r="C33" s="32"/>
    </row>
    <row r="34" spans="1:12">
      <c r="B34" s="32" t="s">
        <v>208</v>
      </c>
      <c r="F34" s="69">
        <f>H41</f>
        <v>185956.64315000031</v>
      </c>
      <c r="G34" s="32"/>
      <c r="H34" s="47">
        <f>SCE!F21</f>
        <v>100876</v>
      </c>
    </row>
    <row r="35" spans="1:12" ht="7.15" customHeight="1">
      <c r="B35" s="32"/>
      <c r="G35" s="32"/>
    </row>
    <row r="36" spans="1:12">
      <c r="B36" s="32" t="s">
        <v>209</v>
      </c>
      <c r="F36" s="69">
        <f>+'P &amp; L'!F33</f>
        <v>311150.35897609818</v>
      </c>
      <c r="G36" s="69">
        <f>+'P &amp; L'!G33</f>
        <v>0</v>
      </c>
      <c r="H36" s="47">
        <f>+'P &amp; L'!H33</f>
        <v>85080.643150000324</v>
      </c>
    </row>
    <row r="37" spans="1:12" ht="7.5" customHeight="1">
      <c r="B37" s="32"/>
      <c r="F37" s="69"/>
      <c r="G37" s="69"/>
      <c r="H37" s="47"/>
    </row>
    <row r="38" spans="1:12">
      <c r="B38" s="32"/>
      <c r="F38" s="69">
        <f>SCE!F13</f>
        <v>0</v>
      </c>
      <c r="G38" s="69"/>
      <c r="H38" s="47"/>
    </row>
    <row r="39" spans="1:12">
      <c r="B39" s="32"/>
      <c r="F39" s="155"/>
      <c r="G39" s="32"/>
      <c r="H39" s="156"/>
    </row>
    <row r="40" spans="1:12">
      <c r="B40" s="157"/>
      <c r="G40" s="158"/>
    </row>
    <row r="41" spans="1:12">
      <c r="B41" s="57" t="s">
        <v>210</v>
      </c>
      <c r="F41" s="69">
        <f>F34+F36+F38</f>
        <v>497107.00212609849</v>
      </c>
      <c r="G41" s="32"/>
      <c r="H41" s="47">
        <f>SUM(H34:H39)</f>
        <v>185956.64315000031</v>
      </c>
    </row>
    <row r="42" spans="1:12" ht="7.9" customHeight="1" thickBot="1">
      <c r="F42" s="159"/>
      <c r="G42" s="32"/>
      <c r="H42" s="160"/>
    </row>
    <row r="43" spans="1:12" ht="16" thickTop="1">
      <c r="F43" s="57"/>
      <c r="G43" s="32"/>
      <c r="H43" s="147"/>
    </row>
    <row r="44" spans="1:12" s="32" customFormat="1" ht="14">
      <c r="A44" s="306"/>
      <c r="F44" s="69"/>
      <c r="H44" s="47"/>
      <c r="L44" s="151"/>
    </row>
    <row r="45" spans="1:12" s="32" customFormat="1" ht="14">
      <c r="A45" s="306">
        <v>14</v>
      </c>
      <c r="B45" s="57" t="s">
        <v>211</v>
      </c>
      <c r="C45" s="57"/>
      <c r="D45" s="57"/>
      <c r="F45" s="57"/>
      <c r="H45" s="161"/>
      <c r="L45" s="151"/>
    </row>
    <row r="46" spans="1:12" s="32" customFormat="1" ht="3.65" customHeight="1">
      <c r="A46" s="306"/>
      <c r="B46" s="57"/>
      <c r="C46" s="57"/>
      <c r="D46" s="57"/>
      <c r="F46" s="57"/>
      <c r="H46" s="161"/>
      <c r="L46" s="151"/>
    </row>
    <row r="47" spans="1:12" s="32" customFormat="1" ht="13.9" customHeight="1">
      <c r="A47" s="306"/>
      <c r="B47" s="566" t="s">
        <v>479</v>
      </c>
      <c r="C47" s="566"/>
      <c r="D47" s="566"/>
      <c r="E47" s="566"/>
      <c r="F47" s="566"/>
      <c r="G47" s="566"/>
      <c r="H47" s="566"/>
      <c r="L47" s="151"/>
    </row>
    <row r="48" spans="1:12" s="32" customFormat="1" ht="13.9" customHeight="1">
      <c r="A48" s="306"/>
      <c r="B48" s="566"/>
      <c r="C48" s="566"/>
      <c r="D48" s="566"/>
      <c r="E48" s="566"/>
      <c r="F48" s="566"/>
      <c r="G48" s="566"/>
      <c r="H48" s="566"/>
      <c r="L48" s="151"/>
    </row>
    <row r="49" spans="1:12" s="32" customFormat="1" ht="14">
      <c r="A49" s="306"/>
      <c r="B49" s="308"/>
      <c r="C49" s="308"/>
      <c r="D49" s="308"/>
      <c r="E49" s="308"/>
      <c r="F49" s="162"/>
      <c r="G49" s="308"/>
      <c r="H49" s="308"/>
      <c r="L49" s="151"/>
    </row>
    <row r="50" spans="1:12" s="309" customFormat="1">
      <c r="A50" s="134"/>
      <c r="B50" s="163"/>
      <c r="F50" s="64"/>
      <c r="H50" s="35"/>
      <c r="L50" s="464"/>
    </row>
    <row r="51" spans="1:12" s="309" customFormat="1" ht="14.5">
      <c r="A51" s="134">
        <v>15</v>
      </c>
      <c r="B51" s="57" t="s">
        <v>212</v>
      </c>
      <c r="F51" s="64"/>
      <c r="H51" s="35"/>
      <c r="L51" s="464"/>
    </row>
    <row r="52" spans="1:12" s="309" customFormat="1" ht="6" customHeight="1">
      <c r="A52" s="134"/>
      <c r="B52" s="57"/>
      <c r="F52" s="64"/>
      <c r="H52" s="35"/>
      <c r="L52" s="464"/>
    </row>
    <row r="53" spans="1:12" s="309" customFormat="1" ht="14.5">
      <c r="A53" s="134"/>
      <c r="B53" s="561" t="s">
        <v>480</v>
      </c>
      <c r="C53" s="561"/>
      <c r="D53" s="561"/>
      <c r="E53" s="561"/>
      <c r="F53" s="561"/>
      <c r="G53" s="561"/>
      <c r="H53" s="561"/>
      <c r="L53" s="464"/>
    </row>
    <row r="54" spans="1:12" s="309" customFormat="1" ht="14.5">
      <c r="A54" s="134"/>
      <c r="B54" s="561"/>
      <c r="C54" s="561"/>
      <c r="D54" s="561"/>
      <c r="E54" s="561"/>
      <c r="F54" s="561"/>
      <c r="G54" s="561"/>
      <c r="H54" s="561"/>
      <c r="L54" s="464"/>
    </row>
    <row r="55" spans="1:12" s="309" customFormat="1" ht="14.5">
      <c r="A55" s="134"/>
      <c r="F55" s="64"/>
      <c r="H55" s="35"/>
      <c r="L55" s="464"/>
    </row>
    <row r="56" spans="1:12" s="309" customFormat="1" ht="14.5">
      <c r="A56" s="134"/>
      <c r="F56" s="64"/>
      <c r="H56" s="35"/>
      <c r="L56" s="464"/>
    </row>
    <row r="57" spans="1:12" s="32" customFormat="1" ht="14">
      <c r="A57" s="306">
        <v>16</v>
      </c>
      <c r="B57" s="57" t="s">
        <v>213</v>
      </c>
      <c r="C57" s="57"/>
      <c r="D57" s="57"/>
      <c r="F57" s="57"/>
      <c r="H57" s="161"/>
      <c r="L57" s="151"/>
    </row>
    <row r="58" spans="1:12" ht="4.1500000000000004" customHeight="1"/>
    <row r="59" spans="1:12">
      <c r="B59" s="564" t="s">
        <v>465</v>
      </c>
      <c r="C59" s="564"/>
      <c r="D59" s="564"/>
      <c r="E59" s="564"/>
      <c r="F59" s="564"/>
      <c r="G59" s="564"/>
      <c r="H59" s="564"/>
    </row>
    <row r="60" spans="1:12">
      <c r="B60" s="564"/>
      <c r="C60" s="564"/>
      <c r="D60" s="564"/>
      <c r="E60" s="564"/>
      <c r="F60" s="564"/>
      <c r="G60" s="564"/>
      <c r="H60" s="564"/>
    </row>
    <row r="61" spans="1:12" s="32" customFormat="1" ht="14">
      <c r="A61" s="306"/>
      <c r="I61" s="465"/>
      <c r="J61" s="164"/>
      <c r="L61" s="165"/>
    </row>
    <row r="62" spans="1:12" ht="9" customHeight="1"/>
    <row r="63" spans="1:12" ht="6" customHeight="1"/>
    <row r="65" spans="1:8" ht="9.65" customHeight="1"/>
    <row r="69" spans="1:8">
      <c r="F69" s="466"/>
      <c r="G69" s="467"/>
      <c r="H69" s="175"/>
    </row>
    <row r="70" spans="1:8">
      <c r="F70" s="466"/>
      <c r="G70" s="467"/>
      <c r="H70" s="175"/>
    </row>
    <row r="71" spans="1:8" s="171" customFormat="1" ht="13.9" customHeight="1">
      <c r="A71" s="167"/>
      <c r="B71" s="168"/>
      <c r="C71" s="168"/>
      <c r="D71" s="168"/>
      <c r="E71" s="168"/>
      <c r="F71" s="169"/>
      <c r="G71" s="170"/>
      <c r="H71" s="175"/>
    </row>
    <row r="72" spans="1:8" s="171" customFormat="1" ht="14">
      <c r="A72" s="167"/>
      <c r="B72" s="81"/>
      <c r="C72" s="168"/>
      <c r="D72" s="168"/>
      <c r="E72" s="168"/>
      <c r="F72" s="168"/>
      <c r="G72" s="168"/>
      <c r="H72" s="172"/>
    </row>
    <row r="73" spans="1:8" s="171" customFormat="1" ht="7.15" customHeight="1">
      <c r="A73" s="167"/>
      <c r="B73" s="309"/>
      <c r="C73" s="168"/>
      <c r="D73" s="168"/>
      <c r="E73" s="168"/>
      <c r="F73" s="168"/>
      <c r="G73" s="168"/>
      <c r="H73" s="172"/>
    </row>
    <row r="74" spans="1:8" s="171" customFormat="1" ht="14">
      <c r="A74" s="167"/>
      <c r="B74" s="71"/>
      <c r="C74" s="168"/>
      <c r="D74" s="168"/>
      <c r="E74" s="168"/>
      <c r="F74" s="173"/>
      <c r="G74" s="135"/>
      <c r="H74" s="175"/>
    </row>
    <row r="75" spans="1:8" s="171" customFormat="1" ht="14">
      <c r="A75" s="167"/>
      <c r="B75" s="71"/>
      <c r="C75" s="168"/>
      <c r="D75" s="168"/>
      <c r="E75" s="168"/>
      <c r="F75" s="173"/>
      <c r="G75" s="135"/>
      <c r="H75" s="176"/>
    </row>
    <row r="76" spans="1:8" s="171" customFormat="1" ht="14">
      <c r="A76" s="167"/>
      <c r="B76" s="71"/>
      <c r="C76" s="168"/>
      <c r="D76" s="168"/>
      <c r="E76" s="168"/>
      <c r="F76" s="173"/>
      <c r="G76" s="135"/>
      <c r="H76" s="176"/>
    </row>
    <row r="77" spans="1:8" s="171" customFormat="1" ht="8.5" customHeight="1">
      <c r="A77" s="167"/>
      <c r="B77" s="168"/>
      <c r="C77" s="168"/>
      <c r="D77" s="168"/>
      <c r="E77" s="168"/>
      <c r="F77" s="168"/>
      <c r="G77" s="168"/>
      <c r="H77" s="168"/>
    </row>
    <row r="78" spans="1:8" s="171" customFormat="1" ht="8.5" customHeight="1">
      <c r="A78" s="167"/>
      <c r="B78" s="168"/>
      <c r="C78" s="168"/>
      <c r="D78" s="168"/>
      <c r="E78" s="168"/>
      <c r="F78" s="168"/>
      <c r="G78" s="168"/>
      <c r="H78" s="168"/>
    </row>
    <row r="79" spans="1:8" s="171" customFormat="1" ht="14">
      <c r="A79" s="167"/>
      <c r="B79" s="168"/>
      <c r="C79" s="168"/>
      <c r="D79" s="168"/>
      <c r="E79" s="168"/>
      <c r="F79" s="177"/>
      <c r="G79" s="168"/>
      <c r="H79" s="170"/>
    </row>
    <row r="80" spans="1:8" s="171" customFormat="1" ht="10.9" customHeight="1">
      <c r="A80" s="167"/>
    </row>
    <row r="81" spans="1:8" s="171" customFormat="1" ht="14">
      <c r="A81" s="167"/>
      <c r="H81" s="175"/>
    </row>
    <row r="82" spans="1:8" s="171" customFormat="1" ht="14">
      <c r="A82" s="167"/>
      <c r="G82" s="178"/>
      <c r="H82" s="175"/>
    </row>
    <row r="83" spans="1:8" s="171" customFormat="1" ht="14">
      <c r="A83" s="167"/>
      <c r="F83" s="179"/>
      <c r="G83" s="178"/>
    </row>
    <row r="84" spans="1:8">
      <c r="A84" s="167"/>
      <c r="F84" s="468"/>
      <c r="H84" s="175"/>
    </row>
    <row r="85" spans="1:8">
      <c r="B85" s="71"/>
      <c r="F85" s="468"/>
    </row>
    <row r="86" spans="1:8">
      <c r="F86" s="179"/>
    </row>
    <row r="87" spans="1:8">
      <c r="F87" s="468"/>
    </row>
    <row r="88" spans="1:8">
      <c r="F88" s="468"/>
    </row>
    <row r="89" spans="1:8">
      <c r="F89" s="468"/>
      <c r="H89" s="175"/>
    </row>
    <row r="90" spans="1:8">
      <c r="F90" s="468"/>
      <c r="H90" s="175"/>
    </row>
    <row r="91" spans="1:8">
      <c r="F91" s="469"/>
      <c r="H91" s="175"/>
    </row>
    <row r="92" spans="1:8">
      <c r="H92" s="175"/>
    </row>
    <row r="93" spans="1:8">
      <c r="F93" s="179"/>
    </row>
    <row r="94" spans="1:8">
      <c r="F94" s="179"/>
    </row>
    <row r="95" spans="1:8" ht="4.9000000000000004" customHeight="1"/>
    <row r="96" spans="1:8" ht="8.5" customHeight="1"/>
    <row r="97" spans="6:8">
      <c r="F97" s="470"/>
      <c r="H97" s="175"/>
    </row>
    <row r="98" spans="6:8" ht="7.15" customHeight="1"/>
  </sheetData>
  <mergeCells count="7">
    <mergeCell ref="B59:H60"/>
    <mergeCell ref="A1:H1"/>
    <mergeCell ref="A2:H2"/>
    <mergeCell ref="A3:H3"/>
    <mergeCell ref="B28:H28"/>
    <mergeCell ref="B47:H48"/>
    <mergeCell ref="B53:H54"/>
  </mergeCells>
  <printOptions horizontalCentered="1"/>
  <pageMargins left="0.7" right="0.7" top="0.75" bottom="0.75" header="0.3" footer="0.3"/>
  <pageSetup paperSize="9" orientation="portrait" r:id="rId1"/>
  <headerFooter>
    <oddFooter>&amp;C16</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98CCB-0545-44CC-9DBA-E4C2E8427633}">
  <dimension ref="A1:L65"/>
  <sheetViews>
    <sheetView zoomScaleNormal="100" workbookViewId="0">
      <selection activeCell="F10" sqref="F10"/>
    </sheetView>
  </sheetViews>
  <sheetFormatPr defaultColWidth="10.7265625" defaultRowHeight="15.5"/>
  <cols>
    <col min="1" max="1" width="3.1796875" style="131" customWidth="1"/>
    <col min="2" max="2" width="14.81640625" style="126" customWidth="1"/>
    <col min="3" max="3" width="15.1796875" style="126" customWidth="1"/>
    <col min="4" max="4" width="7.54296875" style="126" customWidth="1"/>
    <col min="5" max="5" width="4" style="126" customWidth="1"/>
    <col min="6" max="6" width="13.26953125" style="126" customWidth="1"/>
    <col min="7" max="7" width="2.26953125" style="126" customWidth="1"/>
    <col min="8" max="8" width="13.7265625" style="126" bestFit="1" customWidth="1"/>
    <col min="9" max="9" width="11.7265625" style="126" customWidth="1"/>
    <col min="10" max="10" width="11.90625" style="126" bestFit="1" customWidth="1"/>
    <col min="11" max="16384" width="10.7265625" style="126"/>
  </cols>
  <sheetData>
    <row r="1" spans="1:10">
      <c r="A1" s="567" t="str">
        <f>'N12-16'!A1</f>
        <v>MES CONTRACTING AND TRADING LTD</v>
      </c>
      <c r="B1" s="567"/>
      <c r="C1" s="567"/>
      <c r="D1" s="567"/>
      <c r="E1" s="567"/>
      <c r="F1" s="567"/>
      <c r="G1" s="567"/>
      <c r="H1" s="567"/>
    </row>
    <row r="2" spans="1:10">
      <c r="A2" s="567" t="s">
        <v>132</v>
      </c>
      <c r="B2" s="567"/>
      <c r="C2" s="567"/>
      <c r="D2" s="567"/>
      <c r="E2" s="567"/>
      <c r="F2" s="567"/>
      <c r="G2" s="567"/>
      <c r="H2" s="567"/>
    </row>
    <row r="3" spans="1:10">
      <c r="A3" s="567" t="str">
        <f>+'N7-11'!A3:J3</f>
        <v>FOR THE YEAR ENDED 31 DECEMBER 2023</v>
      </c>
      <c r="B3" s="567"/>
      <c r="C3" s="567"/>
      <c r="D3" s="567"/>
      <c r="E3" s="567"/>
      <c r="F3" s="567"/>
      <c r="G3" s="567"/>
      <c r="H3" s="567"/>
    </row>
    <row r="4" spans="1:10" ht="7.9" customHeight="1">
      <c r="A4" s="125"/>
      <c r="B4" s="125"/>
      <c r="C4" s="125"/>
      <c r="D4" s="125"/>
      <c r="E4" s="125"/>
      <c r="F4" s="125"/>
      <c r="G4" s="125"/>
      <c r="H4" s="127"/>
    </row>
    <row r="5" spans="1:10">
      <c r="A5" s="125"/>
      <c r="B5" s="125"/>
      <c r="C5" s="125"/>
      <c r="D5" s="125"/>
      <c r="E5" s="125"/>
      <c r="F5" s="128" t="s">
        <v>478</v>
      </c>
      <c r="G5" s="129">
        <f>+'[3]N12-16'!H5</f>
        <v>0</v>
      </c>
      <c r="H5" s="130" t="s">
        <v>33</v>
      </c>
    </row>
    <row r="6" spans="1:10">
      <c r="D6" s="125"/>
      <c r="E6" s="125"/>
      <c r="F6" s="132" t="str">
        <f>+'[3]N12-16'!G7</f>
        <v>GH¢</v>
      </c>
      <c r="G6" s="129">
        <f>+'[3]N12-16'!H6</f>
        <v>0</v>
      </c>
      <c r="H6" s="133" t="str">
        <f>+'[3]N12-16'!I7</f>
        <v>GH¢</v>
      </c>
    </row>
    <row r="7" spans="1:10" ht="7.15" customHeight="1"/>
    <row r="8" spans="1:10" s="185" customFormat="1">
      <c r="A8" s="185">
        <v>17</v>
      </c>
      <c r="B8" s="183" t="s">
        <v>523</v>
      </c>
      <c r="E8" s="275"/>
      <c r="F8" s="205"/>
    </row>
    <row r="9" spans="1:10" s="185" customFormat="1">
      <c r="B9" s="185" t="s">
        <v>520</v>
      </c>
      <c r="F9" s="275">
        <v>19551839.4173913</v>
      </c>
      <c r="H9" s="205">
        <v>3003030</v>
      </c>
    </row>
    <row r="10" spans="1:10" s="185" customFormat="1">
      <c r="B10" s="185" t="s">
        <v>410</v>
      </c>
      <c r="F10" s="270">
        <v>110821.98</v>
      </c>
      <c r="H10" s="193">
        <f>'[1]N2,3'!$G$21</f>
        <v>363053</v>
      </c>
    </row>
    <row r="11" spans="1:10" s="185" customFormat="1">
      <c r="B11" s="185" t="s">
        <v>521</v>
      </c>
      <c r="F11" s="192">
        <v>650000</v>
      </c>
      <c r="H11" s="193">
        <v>760000</v>
      </c>
    </row>
    <row r="12" spans="1:10" s="185" customFormat="1">
      <c r="B12" s="185" t="s">
        <v>522</v>
      </c>
      <c r="F12" s="192">
        <v>50900</v>
      </c>
      <c r="H12" s="193"/>
    </row>
    <row r="13" spans="1:10" s="185" customFormat="1">
      <c r="B13" s="185" t="s">
        <v>413</v>
      </c>
      <c r="F13" s="192"/>
      <c r="H13" s="193"/>
    </row>
    <row r="14" spans="1:10" s="185" customFormat="1" ht="18.5">
      <c r="B14" s="185" t="s">
        <v>414</v>
      </c>
      <c r="F14" s="195"/>
      <c r="H14" s="196"/>
      <c r="J14" s="185">
        <v>21363561.397391304</v>
      </c>
    </row>
    <row r="15" spans="1:10" s="185" customFormat="1" ht="18.5">
      <c r="F15" s="195">
        <f>SUM(F9:F14)</f>
        <v>20363561.397391301</v>
      </c>
      <c r="G15" s="195">
        <f t="shared" ref="G15:H15" si="0">SUM(G9:G14)</f>
        <v>0</v>
      </c>
      <c r="H15" s="195">
        <f t="shared" si="0"/>
        <v>4126083</v>
      </c>
      <c r="J15" s="190">
        <f>J14-F15</f>
        <v>1000000.0000000037</v>
      </c>
    </row>
    <row r="16" spans="1:10" s="185" customFormat="1" ht="18.5">
      <c r="F16" s="195"/>
      <c r="H16" s="193"/>
    </row>
    <row r="17" spans="1:8" s="185" customFormat="1">
      <c r="A17" s="185">
        <v>9</v>
      </c>
      <c r="B17" s="183" t="s">
        <v>345</v>
      </c>
      <c r="C17" s="183"/>
      <c r="D17" s="183"/>
      <c r="E17" s="245"/>
      <c r="F17" s="193"/>
    </row>
    <row r="18" spans="1:8" s="185" customFormat="1">
      <c r="B18" s="183"/>
      <c r="C18" s="183"/>
      <c r="D18" s="183"/>
      <c r="E18" s="245"/>
      <c r="F18" s="193"/>
    </row>
    <row r="19" spans="1:8" s="185" customFormat="1">
      <c r="B19" s="185" t="s">
        <v>346</v>
      </c>
      <c r="C19" s="183"/>
      <c r="D19" s="183"/>
      <c r="F19" s="192"/>
      <c r="H19" s="193"/>
    </row>
    <row r="20" spans="1:8" s="185" customFormat="1">
      <c r="B20" s="185" t="s">
        <v>347</v>
      </c>
      <c r="F20" s="192"/>
      <c r="H20" s="193"/>
    </row>
    <row r="21" spans="1:8" s="185" customFormat="1">
      <c r="B21" s="185" t="s">
        <v>348</v>
      </c>
      <c r="F21" s="192"/>
      <c r="G21" s="238"/>
      <c r="H21" s="194"/>
    </row>
    <row r="22" spans="1:8" s="185" customFormat="1" ht="18.5">
      <c r="B22" s="185" t="s">
        <v>349</v>
      </c>
      <c r="F22" s="195"/>
      <c r="H22" s="196"/>
    </row>
    <row r="23" spans="1:8" s="185" customFormat="1" ht="17">
      <c r="F23" s="217">
        <f>SUM(F19:F22)</f>
        <v>0</v>
      </c>
      <c r="G23" s="217">
        <f t="shared" ref="G23:H23" si="1">SUM(G19:G22)</f>
        <v>0</v>
      </c>
      <c r="H23" s="217">
        <f t="shared" si="1"/>
        <v>0</v>
      </c>
    </row>
    <row r="24" spans="1:8" s="185" customFormat="1">
      <c r="A24" s="185">
        <v>7</v>
      </c>
      <c r="B24" s="183" t="s">
        <v>328</v>
      </c>
      <c r="E24" s="238"/>
      <c r="F24" s="193"/>
    </row>
    <row r="25" spans="1:8" s="185" customFormat="1">
      <c r="E25" s="238"/>
      <c r="F25" s="193"/>
      <c r="H25" s="193"/>
    </row>
    <row r="26" spans="1:8" s="242" customFormat="1">
      <c r="B26" s="242" t="s">
        <v>330</v>
      </c>
      <c r="E26" s="243"/>
      <c r="F26" s="192">
        <v>30000</v>
      </c>
      <c r="G26" s="185"/>
      <c r="H26" s="193">
        <v>10000</v>
      </c>
    </row>
    <row r="27" spans="1:8" s="185" customFormat="1">
      <c r="B27" s="185" t="s">
        <v>511</v>
      </c>
      <c r="E27" s="238"/>
      <c r="F27" s="192">
        <v>6625.6</v>
      </c>
      <c r="H27" s="193">
        <v>3069</v>
      </c>
    </row>
    <row r="28" spans="1:8" s="185" customFormat="1" hidden="1">
      <c r="B28" s="185" t="s">
        <v>332</v>
      </c>
      <c r="E28" s="238"/>
      <c r="F28" s="192"/>
      <c r="H28" s="193"/>
    </row>
    <row r="29" spans="1:8" s="185" customFormat="1">
      <c r="B29" s="185" t="s">
        <v>519</v>
      </c>
      <c r="E29" s="238"/>
      <c r="F29" s="192">
        <v>5784.3</v>
      </c>
      <c r="H29" s="193"/>
    </row>
    <row r="30" spans="1:8" s="185" customFormat="1">
      <c r="B30" s="185" t="s">
        <v>510</v>
      </c>
      <c r="E30" s="238"/>
      <c r="F30" s="270">
        <v>632018.67000000004</v>
      </c>
      <c r="H30" s="193">
        <v>11820.62</v>
      </c>
    </row>
    <row r="31" spans="1:8" s="185" customFormat="1" hidden="1">
      <c r="B31" s="185" t="s">
        <v>335</v>
      </c>
      <c r="E31" s="192"/>
      <c r="F31" s="192"/>
      <c r="H31" s="194"/>
    </row>
    <row r="32" spans="1:8" s="185" customFormat="1" hidden="1">
      <c r="B32" s="185" t="s">
        <v>336</v>
      </c>
      <c r="E32" s="192"/>
      <c r="F32" s="192"/>
      <c r="H32" s="194"/>
    </row>
    <row r="33" spans="1:12" s="185" customFormat="1" hidden="1">
      <c r="B33" s="185" t="s">
        <v>337</v>
      </c>
      <c r="E33" s="192"/>
      <c r="F33" s="192"/>
      <c r="H33" s="194"/>
    </row>
    <row r="34" spans="1:12" s="185" customFormat="1" ht="18.5" hidden="1">
      <c r="B34" s="185" t="s">
        <v>338</v>
      </c>
      <c r="E34" s="195"/>
      <c r="F34" s="192"/>
      <c r="H34" s="194"/>
    </row>
    <row r="35" spans="1:12" s="185" customFormat="1" ht="18.5">
      <c r="E35" s="195"/>
      <c r="F35" s="192"/>
    </row>
    <row r="36" spans="1:12" s="185" customFormat="1" ht="19" thickBot="1">
      <c r="E36" s="241"/>
      <c r="F36" s="293">
        <f>SUM(F25:F34)</f>
        <v>674428.57000000007</v>
      </c>
      <c r="H36" s="295">
        <f>SUM(H25:H34)</f>
        <v>24889.620000000003</v>
      </c>
    </row>
    <row r="37" spans="1:12" customFormat="1" ht="14.5">
      <c r="A37" s="134"/>
      <c r="B37" s="32"/>
      <c r="C37" s="32"/>
      <c r="D37" s="32"/>
      <c r="E37" s="32"/>
      <c r="F37" s="32"/>
      <c r="G37" s="32"/>
      <c r="H37" s="150"/>
      <c r="L37" s="137"/>
    </row>
    <row r="38" spans="1:12" s="171" customFormat="1" ht="13.9" customHeight="1">
      <c r="A38" s="167"/>
      <c r="B38" s="168"/>
      <c r="C38" s="168"/>
      <c r="D38" s="168"/>
      <c r="E38" s="168"/>
      <c r="F38" s="169"/>
      <c r="G38" s="170"/>
      <c r="H38" s="166"/>
    </row>
    <row r="39" spans="1:12" s="171" customFormat="1" ht="14">
      <c r="A39" s="167"/>
      <c r="B39" s="81"/>
      <c r="C39" s="168"/>
      <c r="D39" s="168"/>
      <c r="E39" s="168"/>
      <c r="F39" s="168"/>
      <c r="G39" s="168"/>
      <c r="H39" s="172"/>
    </row>
    <row r="40" spans="1:12" s="171" customFormat="1" ht="7.15" customHeight="1">
      <c r="A40" s="167"/>
      <c r="B40"/>
      <c r="C40" s="168"/>
      <c r="D40" s="168"/>
      <c r="E40" s="168"/>
      <c r="F40" s="168"/>
      <c r="G40" s="168"/>
      <c r="H40" s="172"/>
    </row>
    <row r="41" spans="1:12" s="171" customFormat="1" ht="14">
      <c r="A41" s="167"/>
      <c r="B41" s="71"/>
      <c r="C41" s="168"/>
      <c r="D41" s="168"/>
      <c r="E41" s="168"/>
      <c r="F41" s="173"/>
      <c r="G41" s="174"/>
      <c r="H41" s="175"/>
    </row>
    <row r="42" spans="1:12" s="171" customFormat="1" ht="14">
      <c r="A42" s="167"/>
      <c r="B42" s="71"/>
      <c r="C42" s="168"/>
      <c r="D42" s="168"/>
      <c r="E42" s="168"/>
      <c r="F42" s="173"/>
      <c r="G42" s="174"/>
      <c r="H42" s="176"/>
    </row>
    <row r="43" spans="1:12" s="171" customFormat="1" ht="14">
      <c r="A43" s="167"/>
      <c r="B43" s="71"/>
      <c r="C43" s="168"/>
      <c r="D43" s="168"/>
      <c r="E43" s="168"/>
      <c r="F43" s="173"/>
      <c r="G43" s="174"/>
      <c r="H43" s="176"/>
    </row>
    <row r="44" spans="1:12" s="171" customFormat="1" ht="8.5" customHeight="1">
      <c r="A44" s="167"/>
      <c r="B44" s="168"/>
      <c r="C44" s="168"/>
      <c r="D44" s="168"/>
      <c r="E44" s="168"/>
      <c r="F44" s="168"/>
      <c r="G44" s="168"/>
      <c r="H44" s="168"/>
    </row>
    <row r="45" spans="1:12" s="171" customFormat="1" ht="8.5" customHeight="1">
      <c r="A45" s="167"/>
      <c r="B45" s="168"/>
      <c r="C45" s="168"/>
      <c r="D45" s="168"/>
      <c r="E45" s="168"/>
      <c r="F45" s="168"/>
      <c r="G45" s="168"/>
      <c r="H45" s="168"/>
    </row>
    <row r="46" spans="1:12" s="171" customFormat="1" ht="14">
      <c r="A46" s="167"/>
      <c r="B46" s="168"/>
      <c r="C46" s="168"/>
      <c r="D46" s="168"/>
      <c r="E46" s="168"/>
      <c r="F46" s="177"/>
      <c r="G46" s="168"/>
      <c r="H46" s="170"/>
    </row>
    <row r="47" spans="1:12" s="171" customFormat="1" ht="10.9" customHeight="1">
      <c r="A47" s="167"/>
    </row>
    <row r="48" spans="1:12" s="171" customFormat="1" ht="14">
      <c r="A48" s="167"/>
      <c r="H48" s="175"/>
    </row>
    <row r="49" spans="1:8" s="171" customFormat="1" ht="14">
      <c r="A49" s="167"/>
      <c r="G49" s="178"/>
      <c r="H49" s="175"/>
    </row>
    <row r="50" spans="1:8" s="171" customFormat="1" ht="14">
      <c r="A50" s="167"/>
      <c r="F50" s="179"/>
      <c r="G50" s="178"/>
    </row>
    <row r="51" spans="1:8">
      <c r="A51" s="167"/>
      <c r="F51" s="180"/>
      <c r="H51" s="175"/>
    </row>
    <row r="52" spans="1:8">
      <c r="B52" s="71"/>
      <c r="F52" s="180"/>
    </row>
    <row r="53" spans="1:8">
      <c r="F53" s="179"/>
    </row>
    <row r="54" spans="1:8">
      <c r="F54" s="180"/>
    </row>
    <row r="55" spans="1:8">
      <c r="F55" s="180"/>
    </row>
    <row r="56" spans="1:8">
      <c r="F56" s="180"/>
      <c r="H56" s="175"/>
    </row>
    <row r="57" spans="1:8">
      <c r="F57" s="180"/>
      <c r="H57" s="175"/>
    </row>
    <row r="58" spans="1:8">
      <c r="F58" s="181"/>
      <c r="H58" s="175"/>
    </row>
    <row r="59" spans="1:8">
      <c r="H59" s="175"/>
    </row>
    <row r="60" spans="1:8">
      <c r="F60" s="179"/>
    </row>
    <row r="61" spans="1:8">
      <c r="F61" s="179"/>
    </row>
    <row r="62" spans="1:8" ht="4.9000000000000004" customHeight="1"/>
    <row r="63" spans="1:8" ht="8.5" customHeight="1"/>
    <row r="64" spans="1:8">
      <c r="F64" s="182"/>
      <c r="H64" s="175"/>
    </row>
    <row r="65" ht="7.15" customHeight="1"/>
  </sheetData>
  <mergeCells count="3">
    <mergeCell ref="A1:H1"/>
    <mergeCell ref="A2:H2"/>
    <mergeCell ref="A3:H3"/>
  </mergeCells>
  <printOptions horizontalCentered="1"/>
  <pageMargins left="0.7" right="0.7" top="0.75" bottom="0.75" header="0.3" footer="0.3"/>
  <pageSetup paperSize="9" orientation="portrait" r:id="rId1"/>
  <headerFooter>
    <oddFooter>&amp;C17</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CF602-29A1-49E7-8E3D-51DB0B4BDB61}">
  <sheetPr>
    <tabColor rgb="FF92D050"/>
  </sheetPr>
  <dimension ref="A1:M40"/>
  <sheetViews>
    <sheetView zoomScaleNormal="100" workbookViewId="0">
      <selection activeCell="G30" sqref="G30"/>
    </sheetView>
  </sheetViews>
  <sheetFormatPr defaultColWidth="9.1796875" defaultRowHeight="14"/>
  <cols>
    <col min="1" max="1" width="5.26953125" style="305" customWidth="1"/>
    <col min="2" max="4" width="9.1796875" style="32"/>
    <col min="5" max="5" width="7" style="32" customWidth="1"/>
    <col min="6" max="6" width="11.81640625" style="32" customWidth="1"/>
    <col min="7" max="7" width="12.1796875" style="326" bestFit="1" customWidth="1"/>
    <col min="8" max="8" width="1.453125" style="32" customWidth="1"/>
    <col min="9" max="9" width="14.54296875" style="120" bestFit="1" customWidth="1"/>
    <col min="10" max="10" width="13.54296875" style="32" bestFit="1" customWidth="1"/>
    <col min="11" max="11" width="12.7265625" style="32" bestFit="1" customWidth="1"/>
    <col min="12" max="12" width="17.453125" style="32" customWidth="1"/>
    <col min="13" max="16384" width="9.1796875" style="32"/>
  </cols>
  <sheetData>
    <row r="1" spans="1:13" ht="15.5">
      <c r="A1" s="542" t="str">
        <f>+SCF!A1</f>
        <v>MES CONTRACTING AND TRADING LTD</v>
      </c>
      <c r="B1" s="542"/>
      <c r="C1" s="542"/>
      <c r="D1" s="542"/>
      <c r="E1" s="542"/>
      <c r="F1" s="542"/>
      <c r="G1" s="542"/>
      <c r="H1" s="542"/>
      <c r="I1" s="542"/>
    </row>
    <row r="2" spans="1:13">
      <c r="A2" s="543" t="s">
        <v>132</v>
      </c>
      <c r="B2" s="543"/>
      <c r="C2" s="543"/>
      <c r="D2" s="543"/>
      <c r="E2" s="543"/>
      <c r="F2" s="543"/>
      <c r="G2" s="543"/>
      <c r="H2" s="543"/>
      <c r="I2" s="543"/>
    </row>
    <row r="3" spans="1:13" s="232" customFormat="1" ht="15.5">
      <c r="A3" s="543" t="str">
        <f>+SCF!A3</f>
        <v>FOR THE YEAR ENDED 31 DECEMBER 2023</v>
      </c>
      <c r="B3" s="543"/>
      <c r="C3" s="543"/>
      <c r="D3" s="543"/>
      <c r="E3" s="543"/>
      <c r="F3" s="543"/>
      <c r="G3" s="543"/>
      <c r="H3" s="543"/>
      <c r="I3" s="543"/>
    </row>
    <row r="5" spans="1:13">
      <c r="F5" s="57"/>
      <c r="G5" s="487">
        <f>+SCF!F5</f>
        <v>2023</v>
      </c>
      <c r="H5" s="487">
        <f>+SCF!G5</f>
        <v>0</v>
      </c>
      <c r="I5" s="521">
        <v>2022</v>
      </c>
      <c r="M5" s="497"/>
    </row>
    <row r="6" spans="1:13">
      <c r="G6" s="92" t="s">
        <v>34</v>
      </c>
      <c r="H6" s="305"/>
      <c r="I6" s="47" t="s">
        <v>34</v>
      </c>
      <c r="M6" s="498"/>
    </row>
    <row r="7" spans="1:13" s="232" customFormat="1" ht="6.75" customHeight="1">
      <c r="A7" s="305"/>
      <c r="B7" s="32"/>
      <c r="C7" s="32"/>
      <c r="D7" s="32"/>
      <c r="E7" s="32"/>
      <c r="F7" s="32"/>
      <c r="G7" s="32"/>
      <c r="H7" s="32"/>
      <c r="I7" s="67"/>
      <c r="M7" s="32"/>
    </row>
    <row r="8" spans="1:13" ht="14.25" customHeight="1">
      <c r="G8" s="331"/>
      <c r="M8" s="440"/>
    </row>
    <row r="9" spans="1:13">
      <c r="A9" s="65"/>
      <c r="B9" s="57" t="s">
        <v>214</v>
      </c>
      <c r="G9" s="331"/>
      <c r="L9" s="479"/>
      <c r="M9" s="440"/>
    </row>
    <row r="10" spans="1:13" ht="3.65" customHeight="1">
      <c r="A10" s="65"/>
      <c r="B10" s="57"/>
      <c r="G10" s="331"/>
      <c r="L10" s="479"/>
      <c r="M10" s="440"/>
    </row>
    <row r="11" spans="1:13" ht="15.5">
      <c r="B11" s="32" t="s">
        <v>494</v>
      </c>
      <c r="G11" s="256">
        <f>[4]Sheet1!$E$34</f>
        <v>526863.01</v>
      </c>
      <c r="H11" s="242"/>
      <c r="I11" s="244">
        <v>250896.22780000002</v>
      </c>
      <c r="J11" s="67"/>
      <c r="K11" s="499"/>
      <c r="L11" s="500"/>
      <c r="M11" s="440"/>
    </row>
    <row r="12" spans="1:13" hidden="1">
      <c r="B12" s="32" t="s">
        <v>495</v>
      </c>
      <c r="G12" s="352"/>
      <c r="J12" s="67"/>
      <c r="K12" s="499"/>
      <c r="L12" s="67"/>
      <c r="M12" s="101"/>
    </row>
    <row r="13" spans="1:13" hidden="1">
      <c r="B13" s="32" t="s">
        <v>496</v>
      </c>
      <c r="G13" s="378"/>
      <c r="I13" s="110"/>
      <c r="J13" s="67"/>
      <c r="K13" s="499"/>
      <c r="M13" s="440"/>
    </row>
    <row r="14" spans="1:13" s="242" customFormat="1" ht="15.5">
      <c r="A14" s="255"/>
      <c r="B14" s="294" t="s">
        <v>497</v>
      </c>
      <c r="C14" s="501"/>
      <c r="D14" s="501"/>
      <c r="G14" s="256">
        <v>0</v>
      </c>
      <c r="I14" s="244">
        <v>12000</v>
      </c>
    </row>
    <row r="15" spans="1:13" s="242" customFormat="1" ht="15.5">
      <c r="A15" s="255"/>
      <c r="B15" s="294" t="s">
        <v>498</v>
      </c>
      <c r="C15" s="502"/>
      <c r="D15" s="501"/>
      <c r="G15" s="256">
        <v>7800</v>
      </c>
      <c r="I15" s="244">
        <v>10500</v>
      </c>
    </row>
    <row r="16" spans="1:13" s="242" customFormat="1" ht="15.5">
      <c r="A16" s="255"/>
      <c r="B16" s="294" t="s">
        <v>499</v>
      </c>
      <c r="C16" s="502"/>
      <c r="D16" s="501"/>
      <c r="G16" s="256">
        <f>600*12</f>
        <v>7200</v>
      </c>
      <c r="I16" s="244">
        <v>6000</v>
      </c>
    </row>
    <row r="17" spans="1:13" s="242" customFormat="1" ht="15.5">
      <c r="A17" s="255"/>
      <c r="B17" s="294" t="s">
        <v>373</v>
      </c>
      <c r="C17" s="255"/>
      <c r="D17" s="255"/>
      <c r="G17" s="256">
        <f>10000*12</f>
        <v>120000</v>
      </c>
      <c r="I17" s="244">
        <v>36000</v>
      </c>
    </row>
    <row r="18" spans="1:13" s="242" customFormat="1" ht="15.5">
      <c r="A18" s="255"/>
      <c r="B18" s="294" t="s">
        <v>500</v>
      </c>
      <c r="C18" s="255"/>
      <c r="D18" s="255"/>
      <c r="G18" s="256">
        <f>1050*12</f>
        <v>12600</v>
      </c>
      <c r="I18" s="244">
        <v>5489</v>
      </c>
    </row>
    <row r="19" spans="1:13" s="242" customFormat="1" ht="15.5">
      <c r="A19" s="255"/>
      <c r="B19" s="294" t="s">
        <v>141</v>
      </c>
      <c r="C19" s="255"/>
      <c r="D19" s="255"/>
      <c r="G19" s="527">
        <f>N6A!H40</f>
        <v>623131.88560000004</v>
      </c>
      <c r="I19" s="528">
        <v>17389.856</v>
      </c>
    </row>
    <row r="20" spans="1:13" s="242" customFormat="1" ht="15.5">
      <c r="A20" s="255"/>
      <c r="B20" s="294" t="s">
        <v>501</v>
      </c>
      <c r="C20" s="255"/>
      <c r="D20" s="255"/>
      <c r="G20" s="256">
        <v>30000</v>
      </c>
      <c r="I20" s="244">
        <v>10000</v>
      </c>
    </row>
    <row r="21" spans="1:13" s="242" customFormat="1" ht="15.5">
      <c r="A21" s="255"/>
      <c r="B21" s="294" t="s">
        <v>517</v>
      </c>
      <c r="C21" s="255"/>
      <c r="D21" s="255"/>
      <c r="G21" s="256">
        <v>9700</v>
      </c>
      <c r="I21" s="244">
        <v>0</v>
      </c>
    </row>
    <row r="22" spans="1:13" s="242" customFormat="1" ht="15.5">
      <c r="A22" s="255"/>
      <c r="B22" s="294" t="s">
        <v>502</v>
      </c>
      <c r="C22" s="255"/>
      <c r="D22" s="255"/>
      <c r="G22" s="256">
        <v>0</v>
      </c>
      <c r="I22" s="244">
        <v>0</v>
      </c>
    </row>
    <row r="23" spans="1:13" s="242" customFormat="1" ht="15.5">
      <c r="A23" s="255"/>
      <c r="B23" s="294" t="s">
        <v>503</v>
      </c>
      <c r="C23" s="255"/>
      <c r="D23" s="255"/>
      <c r="G23" s="256">
        <v>10340</v>
      </c>
      <c r="I23" s="244">
        <v>8655</v>
      </c>
    </row>
    <row r="24" spans="1:13" s="242" customFormat="1" ht="15.5">
      <c r="A24" s="255"/>
      <c r="B24" s="294" t="s">
        <v>504</v>
      </c>
      <c r="C24" s="255"/>
      <c r="D24" s="255"/>
      <c r="G24" s="256">
        <v>2200</v>
      </c>
      <c r="I24" s="244">
        <v>0</v>
      </c>
    </row>
    <row r="25" spans="1:13" s="242" customFormat="1" ht="15.5">
      <c r="A25" s="255"/>
      <c r="B25" s="294" t="s">
        <v>516</v>
      </c>
      <c r="C25" s="255"/>
      <c r="D25" s="255"/>
      <c r="G25" s="256">
        <f>[4]Sheet1!$B$33</f>
        <v>81033.47</v>
      </c>
      <c r="I25" s="244"/>
    </row>
    <row r="26" spans="1:13" s="242" customFormat="1" ht="15.5">
      <c r="A26" s="255"/>
      <c r="B26" s="294" t="s">
        <v>505</v>
      </c>
      <c r="C26" s="255"/>
      <c r="D26" s="255"/>
      <c r="G26" s="256">
        <f>[4]Sheet1!$B$30+[4]Sheet1!$B$24</f>
        <v>17229.82</v>
      </c>
      <c r="I26" s="244">
        <v>6900</v>
      </c>
    </row>
    <row r="27" spans="1:13" s="242" customFormat="1" ht="15.5">
      <c r="A27" s="255"/>
      <c r="B27" s="294" t="s">
        <v>506</v>
      </c>
      <c r="C27" s="255"/>
      <c r="D27" s="255"/>
      <c r="G27" s="256">
        <v>7200</v>
      </c>
      <c r="I27" s="244">
        <v>6000</v>
      </c>
    </row>
    <row r="28" spans="1:13" s="242" customFormat="1" ht="15.5">
      <c r="A28" s="255"/>
      <c r="B28" s="294" t="s">
        <v>515</v>
      </c>
      <c r="C28" s="255"/>
      <c r="D28" s="255"/>
      <c r="G28" s="256">
        <f>[4]Sheet1!$B$28</f>
        <v>13000</v>
      </c>
      <c r="I28" s="244"/>
    </row>
    <row r="29" spans="1:13" s="242" customFormat="1" ht="15.5">
      <c r="A29" s="255"/>
      <c r="B29" s="294" t="s">
        <v>507</v>
      </c>
      <c r="C29" s="255"/>
      <c r="D29" s="255"/>
      <c r="G29" s="256">
        <v>3000</v>
      </c>
      <c r="I29" s="244">
        <v>1000</v>
      </c>
    </row>
    <row r="30" spans="1:13">
      <c r="G30" s="378"/>
      <c r="I30" s="67"/>
      <c r="J30" s="67"/>
      <c r="K30" s="499"/>
      <c r="M30" s="440"/>
    </row>
    <row r="31" spans="1:13" ht="6" customHeight="1">
      <c r="G31" s="378"/>
      <c r="I31" s="110"/>
      <c r="J31" s="67"/>
      <c r="K31" s="499"/>
      <c r="M31" s="440"/>
    </row>
    <row r="32" spans="1:13" ht="4.9000000000000004" customHeight="1">
      <c r="G32" s="356"/>
      <c r="I32" s="444"/>
      <c r="M32" s="440"/>
    </row>
    <row r="33" spans="6:13">
      <c r="G33" s="104">
        <f>SUM(G11:G30)</f>
        <v>1471298.1856</v>
      </c>
      <c r="I33" s="350">
        <f>SUM(I11:I30)</f>
        <v>370830.08380000002</v>
      </c>
      <c r="J33" s="100"/>
      <c r="M33" s="440"/>
    </row>
    <row r="34" spans="6:13" ht="5.5" customHeight="1" thickBot="1">
      <c r="G34" s="503"/>
      <c r="I34" s="481"/>
      <c r="M34" s="440"/>
    </row>
    <row r="35" spans="6:13" ht="14.5" thickTop="1">
      <c r="F35" s="100"/>
      <c r="G35" s="331"/>
      <c r="M35" s="440"/>
    </row>
    <row r="36" spans="6:13">
      <c r="G36" s="331"/>
      <c r="M36" s="440"/>
    </row>
    <row r="37" spans="6:13">
      <c r="G37" s="331"/>
      <c r="K37" s="67"/>
    </row>
    <row r="38" spans="6:13">
      <c r="G38" s="331"/>
    </row>
    <row r="39" spans="6:13">
      <c r="G39" s="331"/>
    </row>
    <row r="40" spans="6:13">
      <c r="G40" s="331"/>
    </row>
  </sheetData>
  <mergeCells count="3">
    <mergeCell ref="A1:I1"/>
    <mergeCell ref="A2:I2"/>
    <mergeCell ref="A3:I3"/>
  </mergeCells>
  <conditionalFormatting sqref="B1:B1048576">
    <cfRule type="duplicateValues" dxfId="0" priority="1"/>
  </conditionalFormatting>
  <printOptions horizontalCentered="1"/>
  <pageMargins left="0.54" right="0.43" top="0.67500000000000004" bottom="0.75" header="0.3" footer="0.3"/>
  <pageSetup paperSize="9" orientation="portrait" r:id="rId1"/>
  <headerFooter>
    <oddFooter xml:space="preserve">&amp;C18
</oddFooter>
  </headerFooter>
  <colBreaks count="1" manualBreakCount="1">
    <brk id="10" max="46"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86941-A9DE-4012-BCC9-E2566A1AA7FD}">
  <sheetPr>
    <tabColor rgb="FFFF0000"/>
  </sheetPr>
  <dimension ref="A1:Q66"/>
  <sheetViews>
    <sheetView topLeftCell="A12" workbookViewId="0">
      <selection activeCell="L27" sqref="L27:L41"/>
    </sheetView>
  </sheetViews>
  <sheetFormatPr defaultColWidth="9.1796875" defaultRowHeight="15.5"/>
  <cols>
    <col min="1" max="1" width="4.26953125" style="185" customWidth="1"/>
    <col min="2" max="2" width="20.81640625" style="185" customWidth="1"/>
    <col min="3" max="4" width="11.81640625" style="185" bestFit="1" customWidth="1"/>
    <col min="5" max="5" width="14.54296875" style="193" bestFit="1" customWidth="1"/>
    <col min="6" max="6" width="13.54296875" style="185" bestFit="1" customWidth="1"/>
    <col min="7" max="7" width="15.7265625" style="198" bestFit="1" customWidth="1"/>
    <col min="8" max="11" width="9.1796875" style="185"/>
    <col min="12" max="12" width="14.7265625" style="185" bestFit="1" customWidth="1"/>
    <col min="13" max="16384" width="9.1796875" style="185"/>
  </cols>
  <sheetData>
    <row r="1" spans="1:17" s="232" customFormat="1">
      <c r="A1" s="192" t="s">
        <v>218</v>
      </c>
      <c r="C1" s="56"/>
      <c r="D1" s="56"/>
      <c r="E1" s="237"/>
      <c r="F1" s="266"/>
      <c r="G1" s="56"/>
      <c r="H1" s="56"/>
      <c r="I1" s="56"/>
      <c r="J1" s="56"/>
      <c r="K1" s="235"/>
      <c r="L1" s="235"/>
      <c r="M1" s="235"/>
      <c r="N1" s="235"/>
      <c r="O1" s="235"/>
      <c r="P1" s="235"/>
      <c r="Q1" s="235"/>
    </row>
    <row r="2" spans="1:17" s="232" customFormat="1">
      <c r="A2" s="236" t="s">
        <v>310</v>
      </c>
      <c r="C2" s="56"/>
      <c r="D2" s="56"/>
      <c r="E2" s="237"/>
      <c r="F2" s="266"/>
      <c r="G2" s="56"/>
      <c r="H2" s="56"/>
      <c r="I2" s="56"/>
      <c r="J2" s="56"/>
      <c r="K2" s="235"/>
      <c r="L2" s="235"/>
      <c r="M2" s="235"/>
      <c r="N2" s="235"/>
      <c r="O2" s="235"/>
      <c r="P2" s="235"/>
      <c r="Q2" s="235"/>
    </row>
    <row r="3" spans="1:17" s="232" customFormat="1">
      <c r="A3" s="236" t="s">
        <v>512</v>
      </c>
      <c r="C3" s="56"/>
      <c r="D3" s="56"/>
      <c r="E3" s="237"/>
      <c r="F3" s="266"/>
      <c r="G3" s="56"/>
      <c r="H3" s="56"/>
      <c r="I3" s="56"/>
      <c r="J3" s="56"/>
      <c r="K3" s="235"/>
      <c r="L3" s="235"/>
      <c r="M3" s="235"/>
      <c r="N3" s="235"/>
      <c r="O3" s="235"/>
      <c r="P3" s="235"/>
      <c r="Q3" s="235"/>
    </row>
    <row r="4" spans="1:17">
      <c r="A4" s="183"/>
      <c r="B4" s="183"/>
      <c r="C4" s="183"/>
      <c r="D4" s="183"/>
      <c r="E4" s="209"/>
      <c r="F4" s="183"/>
      <c r="G4" s="183"/>
      <c r="H4" s="183"/>
    </row>
    <row r="5" spans="1:17">
      <c r="B5" s="183" t="s">
        <v>427</v>
      </c>
      <c r="C5" s="183"/>
    </row>
    <row r="7" spans="1:17">
      <c r="C7" s="186" t="s">
        <v>428</v>
      </c>
      <c r="D7" s="186" t="s">
        <v>429</v>
      </c>
      <c r="E7" s="212" t="s">
        <v>430</v>
      </c>
      <c r="F7" s="186" t="s">
        <v>431</v>
      </c>
      <c r="G7" s="186" t="s">
        <v>432</v>
      </c>
      <c r="H7" s="186"/>
      <c r="I7" s="183"/>
      <c r="J7" s="183"/>
    </row>
    <row r="8" spans="1:17">
      <c r="C8" s="186" t="s">
        <v>433</v>
      </c>
      <c r="D8" s="186" t="s">
        <v>433</v>
      </c>
      <c r="E8" s="212" t="s">
        <v>433</v>
      </c>
      <c r="F8" s="186" t="s">
        <v>433</v>
      </c>
      <c r="G8" s="186"/>
      <c r="H8" s="186"/>
    </row>
    <row r="9" spans="1:17">
      <c r="C9" s="280">
        <v>0.4</v>
      </c>
      <c r="D9" s="280">
        <v>0.3</v>
      </c>
      <c r="E9" s="281">
        <v>0.2</v>
      </c>
      <c r="F9" s="280">
        <v>0.1</v>
      </c>
      <c r="G9" s="280"/>
      <c r="H9" s="282"/>
    </row>
    <row r="11" spans="1:17">
      <c r="B11" s="185" t="s">
        <v>434</v>
      </c>
      <c r="C11" s="193">
        <v>1278</v>
      </c>
      <c r="D11" s="193"/>
      <c r="E11" s="193">
        <v>63520.800000000003</v>
      </c>
      <c r="F11" s="193"/>
      <c r="G11" s="193">
        <f>SUM(C11:F11)</f>
        <v>64798.8</v>
      </c>
      <c r="H11" s="194"/>
      <c r="I11" s="186"/>
    </row>
    <row r="12" spans="1:17" ht="3" customHeight="1">
      <c r="C12" s="193"/>
      <c r="D12" s="193"/>
      <c r="F12" s="193"/>
      <c r="G12" s="193">
        <f>SUM(C12:F12)</f>
        <v>0</v>
      </c>
      <c r="H12" s="194"/>
      <c r="I12" s="186"/>
    </row>
    <row r="13" spans="1:17" ht="18.5">
      <c r="B13" s="185" t="s">
        <v>435</v>
      </c>
      <c r="C13" s="193">
        <f>N6A!H12</f>
        <v>25600</v>
      </c>
      <c r="D13" s="193">
        <f>N6A!H13</f>
        <v>200000</v>
      </c>
      <c r="E13" s="193">
        <f>N6A!H11+N6A!H18</f>
        <v>60500</v>
      </c>
      <c r="F13" s="193">
        <f>N6A!H16</f>
        <v>5520000</v>
      </c>
      <c r="G13" s="193">
        <f>SUM(C13:F13)</f>
        <v>5806100</v>
      </c>
      <c r="H13" s="197"/>
    </row>
    <row r="14" spans="1:17" ht="4.5" customHeight="1">
      <c r="C14" s="283"/>
      <c r="D14" s="283"/>
      <c r="E14" s="283"/>
      <c r="F14" s="283"/>
      <c r="G14" s="284">
        <f>SUM(C14:F14)</f>
        <v>0</v>
      </c>
      <c r="H14" s="194"/>
      <c r="I14" s="194"/>
    </row>
    <row r="15" spans="1:17" s="198" customFormat="1" ht="16" thickBot="1">
      <c r="B15" s="232" t="s">
        <v>436</v>
      </c>
      <c r="C15" s="285">
        <f>SUM(C11:C14)</f>
        <v>26878</v>
      </c>
      <c r="D15" s="285">
        <f>SUM(D11:D14)</f>
        <v>200000</v>
      </c>
      <c r="E15" s="285">
        <f>SUM(E11:E14)</f>
        <v>124020.8</v>
      </c>
      <c r="F15" s="285">
        <f>SUM(F11:F14)</f>
        <v>5520000</v>
      </c>
      <c r="G15" s="285">
        <f>SUM(C15:F15)</f>
        <v>5870898.7999999998</v>
      </c>
      <c r="H15" s="238"/>
      <c r="I15" s="238"/>
    </row>
    <row r="16" spans="1:17" ht="16" thickTop="1">
      <c r="B16" s="232"/>
      <c r="C16" s="205"/>
      <c r="D16" s="205"/>
      <c r="E16" s="205"/>
      <c r="F16" s="205"/>
      <c r="G16" s="275"/>
      <c r="H16" s="194"/>
      <c r="I16" s="194"/>
    </row>
    <row r="17" spans="1:12" ht="6" customHeight="1">
      <c r="C17" s="193"/>
      <c r="D17" s="193"/>
      <c r="F17" s="193"/>
      <c r="G17" s="192"/>
      <c r="H17" s="194"/>
      <c r="I17" s="194"/>
    </row>
    <row r="18" spans="1:12" s="198" customFormat="1" ht="19" thickBot="1">
      <c r="B18" s="232" t="s">
        <v>437</v>
      </c>
      <c r="C18" s="239">
        <f>C15*0.4</f>
        <v>10751.2</v>
      </c>
      <c r="D18" s="239">
        <f>D15*0.3</f>
        <v>60000</v>
      </c>
      <c r="E18" s="239">
        <f>E15*0.2</f>
        <v>24804.160000000003</v>
      </c>
      <c r="F18" s="239">
        <f>F15*0.1</f>
        <v>552000</v>
      </c>
      <c r="G18" s="239">
        <f>SUM(C18:F18)</f>
        <v>647555.36</v>
      </c>
      <c r="H18" s="241"/>
      <c r="I18" s="238"/>
    </row>
    <row r="19" spans="1:12" s="198" customFormat="1" ht="7.5" customHeight="1" thickTop="1">
      <c r="B19" s="185"/>
      <c r="C19" s="192"/>
      <c r="D19" s="192"/>
      <c r="E19" s="192"/>
      <c r="F19" s="192"/>
      <c r="G19" s="192"/>
    </row>
    <row r="20" spans="1:12" s="198" customFormat="1" ht="16" thickBot="1">
      <c r="B20" s="232" t="s">
        <v>438</v>
      </c>
      <c r="C20" s="286">
        <f>C15-C18</f>
        <v>16126.8</v>
      </c>
      <c r="D20" s="286">
        <f>D15-D18</f>
        <v>140000</v>
      </c>
      <c r="E20" s="285">
        <f>E15-E18</f>
        <v>99216.639999999999</v>
      </c>
      <c r="F20" s="286">
        <f>F15-F18</f>
        <v>4968000</v>
      </c>
      <c r="G20" s="286">
        <f>G15-G18</f>
        <v>5223343.4399999995</v>
      </c>
    </row>
    <row r="21" spans="1:12" ht="16" thickTop="1">
      <c r="A21" s="183"/>
      <c r="B21" s="183"/>
      <c r="C21" s="198"/>
      <c r="D21" s="198"/>
    </row>
    <row r="22" spans="1:12">
      <c r="C22" s="198"/>
      <c r="D22" s="198"/>
    </row>
    <row r="23" spans="1:12">
      <c r="D23" s="183" t="s">
        <v>439</v>
      </c>
    </row>
    <row r="24" spans="1:12">
      <c r="E24" s="212" t="s">
        <v>34</v>
      </c>
    </row>
    <row r="25" spans="1:12">
      <c r="B25" s="185" t="s">
        <v>440</v>
      </c>
      <c r="E25" s="193">
        <f>'P &amp; L'!F28</f>
        <v>406725.98716813093</v>
      </c>
    </row>
    <row r="27" spans="1:12">
      <c r="B27" s="185" t="s">
        <v>441</v>
      </c>
      <c r="E27" s="224">
        <f>N6A!H40</f>
        <v>623131.88560000004</v>
      </c>
    </row>
    <row r="28" spans="1:12" ht="3" customHeight="1"/>
    <row r="29" spans="1:12" s="198" customFormat="1">
      <c r="B29" s="198" t="s">
        <v>442</v>
      </c>
      <c r="E29" s="192">
        <f>SUM(E25:E28)</f>
        <v>1029857.872768131</v>
      </c>
    </row>
    <row r="30" spans="1:12" ht="4.5" customHeight="1"/>
    <row r="31" spans="1:12">
      <c r="B31" s="185" t="s">
        <v>443</v>
      </c>
      <c r="E31" s="193">
        <f>G18</f>
        <v>647555.36</v>
      </c>
      <c r="L31" s="194"/>
    </row>
    <row r="32" spans="1:12" ht="3" customHeight="1"/>
    <row r="33" spans="2:12">
      <c r="B33" s="185" t="s">
        <v>444</v>
      </c>
      <c r="E33" s="287">
        <f>SUM(E29-E31)</f>
        <v>382302.51276813098</v>
      </c>
      <c r="L33" s="194"/>
    </row>
    <row r="34" spans="2:12" ht="3.75" customHeight="1"/>
    <row r="35" spans="2:12" s="198" customFormat="1">
      <c r="B35" s="198" t="s">
        <v>445</v>
      </c>
      <c r="E35" s="205"/>
      <c r="F35" s="296"/>
      <c r="L35" s="296"/>
    </row>
    <row r="36" spans="2:12" s="198" customFormat="1" ht="3" customHeight="1">
      <c r="E36" s="288"/>
    </row>
    <row r="37" spans="2:12" s="198" customFormat="1" ht="14.25" customHeight="1">
      <c r="B37" s="198" t="s">
        <v>446</v>
      </c>
      <c r="E37" s="205"/>
      <c r="F37" s="296"/>
    </row>
    <row r="38" spans="2:12" s="198" customFormat="1" ht="4.5" customHeight="1">
      <c r="E38" s="199"/>
    </row>
    <row r="39" spans="2:12" s="198" customFormat="1" ht="16.5" customHeight="1">
      <c r="B39" s="198" t="s">
        <v>447</v>
      </c>
      <c r="E39" s="199">
        <f>E33*0.25</f>
        <v>95575.628192032746</v>
      </c>
    </row>
    <row r="40" spans="2:12" s="198" customFormat="1" ht="4.5" customHeight="1">
      <c r="E40" s="199"/>
    </row>
    <row r="41" spans="2:12" s="198" customFormat="1" ht="4.5" customHeight="1">
      <c r="E41" s="199"/>
    </row>
    <row r="42" spans="2:12">
      <c r="B42" s="185" t="s">
        <v>448</v>
      </c>
    </row>
    <row r="43" spans="2:12" ht="3.75" customHeight="1"/>
    <row r="44" spans="2:12" ht="15" customHeight="1">
      <c r="B44" s="185" t="s">
        <v>120</v>
      </c>
    </row>
    <row r="45" spans="2:12" ht="3.75" customHeight="1"/>
    <row r="46" spans="2:12">
      <c r="B46" s="185" t="s">
        <v>449</v>
      </c>
      <c r="E46" s="213">
        <v>661884.82900000003</v>
      </c>
    </row>
    <row r="47" spans="2:12" ht="3" customHeight="1">
      <c r="E47" s="213"/>
    </row>
    <row r="48" spans="2:12" s="198" customFormat="1" ht="16" thickBot="1">
      <c r="B48" s="198" t="s">
        <v>450</v>
      </c>
      <c r="E48" s="239">
        <f>E39-E42-E44-E46</f>
        <v>-566309.20080796722</v>
      </c>
    </row>
    <row r="49" spans="2:5" ht="16" thickTop="1"/>
    <row r="51" spans="2:5">
      <c r="B51" s="198"/>
      <c r="E51" s="205"/>
    </row>
    <row r="52" spans="2:5">
      <c r="E52" s="205"/>
    </row>
    <row r="53" spans="2:5">
      <c r="E53" s="205"/>
    </row>
    <row r="54" spans="2:5">
      <c r="E54" s="275"/>
    </row>
    <row r="55" spans="2:5">
      <c r="E55" s="205"/>
    </row>
    <row r="56" spans="2:5">
      <c r="B56" s="198"/>
      <c r="C56" s="198"/>
      <c r="D56" s="198"/>
      <c r="E56" s="275"/>
    </row>
    <row r="66" spans="4:4">
      <c r="D66" s="188">
        <v>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88E5B-D64D-45F1-BCD0-18A274E85703}">
  <dimension ref="B6:S12"/>
  <sheetViews>
    <sheetView workbookViewId="0">
      <selection activeCell="C11" sqref="C11"/>
    </sheetView>
  </sheetViews>
  <sheetFormatPr defaultRowHeight="14.5"/>
  <cols>
    <col min="2" max="2" width="32.26953125" style="512" customWidth="1"/>
    <col min="4" max="4" width="10.08984375" bestFit="1" customWidth="1"/>
    <col min="17" max="17" width="5.08984375" customWidth="1"/>
    <col min="19" max="19" width="10.08984375" style="511" bestFit="1" customWidth="1"/>
  </cols>
  <sheetData>
    <row r="6" spans="2:19" s="518" customFormat="1">
      <c r="B6" s="516" t="s">
        <v>485</v>
      </c>
      <c r="C6" s="520" t="s">
        <v>490</v>
      </c>
      <c r="D6" s="520" t="s">
        <v>486</v>
      </c>
      <c r="S6" s="519"/>
    </row>
    <row r="7" spans="2:19">
      <c r="B7" s="513" t="s">
        <v>481</v>
      </c>
      <c r="C7" s="514"/>
      <c r="D7" s="515">
        <v>25000</v>
      </c>
      <c r="S7" s="511">
        <v>25000</v>
      </c>
    </row>
    <row r="8" spans="2:19" ht="29">
      <c r="B8" s="513" t="s">
        <v>482</v>
      </c>
      <c r="C8" s="514" t="s">
        <v>487</v>
      </c>
      <c r="D8" s="515">
        <v>15000</v>
      </c>
      <c r="S8" s="511">
        <v>15000</v>
      </c>
    </row>
    <row r="9" spans="2:19" ht="29">
      <c r="B9" s="513" t="s">
        <v>483</v>
      </c>
      <c r="C9" s="514" t="s">
        <v>488</v>
      </c>
      <c r="D9" s="515">
        <v>15000</v>
      </c>
      <c r="S9" s="511">
        <v>15000</v>
      </c>
    </row>
    <row r="10" spans="2:19" ht="29">
      <c r="B10" s="513" t="s">
        <v>484</v>
      </c>
      <c r="C10" s="514" t="s">
        <v>489</v>
      </c>
      <c r="D10" s="515">
        <v>6000</v>
      </c>
      <c r="S10" s="511">
        <v>6000</v>
      </c>
    </row>
    <row r="11" spans="2:19" s="518" customFormat="1">
      <c r="B11" s="516" t="s">
        <v>102</v>
      </c>
      <c r="C11" s="520"/>
      <c r="D11" s="517">
        <f>SUM(D7:D10)</f>
        <v>61000</v>
      </c>
      <c r="S11" s="519">
        <f>SUM(S7:S10)</f>
        <v>61000</v>
      </c>
    </row>
    <row r="12" spans="2:19">
      <c r="D12" s="51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D0F67-D0AB-4995-8BB9-E14658A32B02}">
  <dimension ref="A1:K38"/>
  <sheetViews>
    <sheetView view="pageLayout" zoomScaleNormal="100" workbookViewId="0">
      <selection activeCell="B4" sqref="B4"/>
    </sheetView>
  </sheetViews>
  <sheetFormatPr defaultColWidth="9.1796875" defaultRowHeight="15.5"/>
  <cols>
    <col min="1" max="1" width="3.453125" style="26" customWidth="1"/>
    <col min="2" max="2" width="7.81640625" style="26" customWidth="1"/>
    <col min="3" max="6" width="9.1796875" style="26"/>
    <col min="7" max="7" width="6.7265625" style="26" customWidth="1"/>
    <col min="8" max="8" width="5.54296875" style="26" customWidth="1"/>
    <col min="9" max="9" width="9.1796875" style="26"/>
    <col min="10" max="10" width="9.1796875" style="25"/>
    <col min="11" max="16384" width="9.1796875" style="26"/>
  </cols>
  <sheetData>
    <row r="1" spans="1:11">
      <c r="A1" s="540" t="str">
        <f>COV!A13</f>
        <v>MES CONTRACTING AND TRADING LTD</v>
      </c>
      <c r="B1" s="540"/>
      <c r="C1" s="540"/>
      <c r="D1" s="540"/>
      <c r="E1" s="540"/>
      <c r="F1" s="540"/>
      <c r="G1" s="540"/>
      <c r="H1" s="540"/>
      <c r="I1" s="540"/>
      <c r="J1" s="540"/>
    </row>
    <row r="2" spans="1:11">
      <c r="B2" s="541" t="s">
        <v>0</v>
      </c>
      <c r="C2" s="541"/>
      <c r="D2" s="541"/>
      <c r="E2" s="541"/>
      <c r="F2" s="541"/>
      <c r="G2" s="541"/>
      <c r="H2" s="541"/>
      <c r="I2" s="541"/>
      <c r="J2" s="541"/>
      <c r="K2" s="28"/>
    </row>
    <row r="3" spans="1:11">
      <c r="B3" s="541" t="s">
        <v>512</v>
      </c>
      <c r="C3" s="541"/>
      <c r="D3" s="541"/>
      <c r="E3" s="541"/>
      <c r="F3" s="541"/>
      <c r="G3" s="541"/>
      <c r="H3" s="541"/>
      <c r="I3" s="541"/>
      <c r="J3" s="541"/>
      <c r="K3" s="28"/>
    </row>
    <row r="4" spans="1:11">
      <c r="B4" s="28"/>
      <c r="C4" s="28"/>
      <c r="D4" s="28"/>
      <c r="E4" s="28"/>
      <c r="F4" s="29"/>
      <c r="G4" s="28"/>
      <c r="H4" s="28"/>
      <c r="I4" s="29"/>
      <c r="J4" s="27"/>
      <c r="K4" s="28"/>
    </row>
    <row r="5" spans="1:11">
      <c r="B5" s="28"/>
      <c r="C5" s="28"/>
      <c r="D5" s="28"/>
      <c r="E5" s="28"/>
      <c r="F5" s="28"/>
      <c r="G5" s="28"/>
      <c r="H5" s="28"/>
      <c r="I5" s="28"/>
      <c r="J5" s="27"/>
      <c r="K5" s="28"/>
    </row>
    <row r="6" spans="1:11">
      <c r="B6" s="28" t="s">
        <v>7</v>
      </c>
      <c r="C6" s="28"/>
      <c r="D6" s="28"/>
      <c r="E6" s="28"/>
      <c r="F6" s="28"/>
      <c r="G6" s="28"/>
      <c r="H6" s="28"/>
      <c r="I6" s="28"/>
      <c r="J6" s="27" t="s">
        <v>8</v>
      </c>
      <c r="K6" s="28"/>
    </row>
    <row r="7" spans="1:11">
      <c r="B7" s="28"/>
      <c r="C7" s="28"/>
      <c r="D7" s="28"/>
      <c r="E7" s="28"/>
      <c r="F7" s="28"/>
      <c r="G7" s="28"/>
      <c r="H7" s="28"/>
      <c r="I7" s="28"/>
      <c r="J7" s="27"/>
      <c r="K7" s="28"/>
    </row>
    <row r="8" spans="1:11">
      <c r="B8" s="28"/>
      <c r="C8" s="28"/>
      <c r="D8" s="28"/>
      <c r="E8" s="28"/>
      <c r="F8" s="28"/>
      <c r="G8" s="28"/>
      <c r="H8" s="28"/>
      <c r="I8" s="28"/>
      <c r="J8" s="27"/>
      <c r="K8" s="28"/>
    </row>
    <row r="9" spans="1:11">
      <c r="B9" s="28" t="s">
        <v>9</v>
      </c>
      <c r="C9" s="28"/>
      <c r="D9" s="28"/>
      <c r="E9" s="28"/>
      <c r="F9" s="28"/>
      <c r="G9" s="28"/>
      <c r="H9" s="28"/>
      <c r="I9" s="28"/>
      <c r="J9" s="27">
        <v>1</v>
      </c>
      <c r="K9" s="28"/>
    </row>
    <row r="10" spans="1:11">
      <c r="B10" s="28"/>
      <c r="C10" s="28"/>
      <c r="D10" s="28"/>
      <c r="E10" s="28"/>
      <c r="F10" s="28"/>
      <c r="G10" s="28"/>
      <c r="H10" s="28"/>
      <c r="I10" s="28"/>
      <c r="J10" s="27"/>
      <c r="K10" s="28"/>
    </row>
    <row r="11" spans="1:11">
      <c r="B11" s="28"/>
      <c r="C11" s="28"/>
      <c r="D11" s="28"/>
      <c r="E11" s="28"/>
      <c r="F11" s="28"/>
      <c r="G11" s="28"/>
      <c r="H11" s="28"/>
      <c r="I11" s="28"/>
      <c r="J11" s="27"/>
      <c r="K11" s="28"/>
    </row>
    <row r="12" spans="1:11">
      <c r="B12" s="28" t="s">
        <v>10</v>
      </c>
      <c r="C12" s="28"/>
      <c r="D12" s="28"/>
      <c r="E12" s="28"/>
      <c r="F12" s="28"/>
      <c r="G12" s="28"/>
      <c r="H12" s="28"/>
      <c r="I12" s="28"/>
      <c r="J12" s="30" t="s">
        <v>11</v>
      </c>
      <c r="K12" s="28"/>
    </row>
    <row r="13" spans="1:11">
      <c r="B13" s="28"/>
      <c r="C13" s="28"/>
      <c r="D13" s="28"/>
      <c r="E13" s="28"/>
      <c r="F13" s="28"/>
      <c r="G13" s="28"/>
      <c r="H13" s="28"/>
      <c r="I13" s="28"/>
      <c r="J13" s="27"/>
      <c r="K13" s="28"/>
    </row>
    <row r="14" spans="1:11">
      <c r="B14" s="28"/>
      <c r="C14" s="28"/>
      <c r="D14" s="28"/>
      <c r="E14" s="28"/>
      <c r="F14" s="28"/>
      <c r="G14" s="28"/>
      <c r="H14" s="28"/>
      <c r="I14" s="28"/>
      <c r="J14" s="27"/>
      <c r="K14" s="28"/>
    </row>
    <row r="15" spans="1:11">
      <c r="B15" s="28" t="s">
        <v>12</v>
      </c>
      <c r="C15" s="28"/>
      <c r="D15" s="28"/>
      <c r="E15" s="28"/>
      <c r="F15" s="28"/>
      <c r="G15" s="28"/>
      <c r="H15" s="28"/>
      <c r="I15" s="28"/>
      <c r="J15" s="31" t="s">
        <v>13</v>
      </c>
      <c r="K15" s="28"/>
    </row>
    <row r="16" spans="1:11">
      <c r="B16" s="28"/>
      <c r="C16" s="28"/>
      <c r="D16" s="28"/>
      <c r="E16" s="28"/>
      <c r="F16" s="28"/>
      <c r="G16" s="28"/>
      <c r="H16" s="28"/>
      <c r="I16" s="28"/>
      <c r="J16" s="27"/>
      <c r="K16" s="28"/>
    </row>
    <row r="17" spans="2:11">
      <c r="B17" s="28"/>
      <c r="C17" s="28"/>
      <c r="D17" s="28"/>
      <c r="E17" s="28"/>
      <c r="F17" s="28"/>
      <c r="G17" s="28"/>
      <c r="H17" s="28"/>
      <c r="I17" s="28"/>
      <c r="J17" s="27"/>
      <c r="K17" s="28"/>
    </row>
    <row r="18" spans="2:11">
      <c r="B18" s="28" t="s">
        <v>14</v>
      </c>
      <c r="C18" s="28"/>
      <c r="D18" s="28"/>
      <c r="E18" s="28"/>
      <c r="F18" s="28"/>
      <c r="G18" s="28"/>
      <c r="H18" s="28"/>
      <c r="I18" s="28"/>
      <c r="J18" s="27">
        <v>7</v>
      </c>
      <c r="K18" s="28"/>
    </row>
    <row r="19" spans="2:11">
      <c r="B19" s="28"/>
      <c r="C19" s="28"/>
      <c r="D19" s="28"/>
      <c r="E19" s="28"/>
      <c r="F19" s="28"/>
      <c r="G19" s="28"/>
      <c r="H19" s="28"/>
      <c r="I19" s="28"/>
      <c r="J19" s="27"/>
      <c r="K19" s="28"/>
    </row>
    <row r="20" spans="2:11">
      <c r="B20" s="28"/>
      <c r="C20" s="28"/>
      <c r="D20" s="28"/>
      <c r="E20" s="28"/>
      <c r="F20" s="28"/>
      <c r="G20" s="28"/>
      <c r="H20" s="28"/>
      <c r="I20" s="28"/>
      <c r="J20" s="27"/>
      <c r="K20" s="28"/>
    </row>
    <row r="21" spans="2:11">
      <c r="B21" s="28" t="s">
        <v>15</v>
      </c>
      <c r="C21" s="28"/>
      <c r="D21" s="28"/>
      <c r="E21" s="28"/>
      <c r="F21" s="28"/>
      <c r="G21" s="28"/>
      <c r="H21" s="28"/>
      <c r="I21" s="28"/>
      <c r="J21" s="27">
        <v>8</v>
      </c>
      <c r="K21" s="28"/>
    </row>
    <row r="22" spans="2:11">
      <c r="B22" s="28"/>
      <c r="C22" s="28"/>
      <c r="D22" s="28"/>
      <c r="E22" s="28"/>
      <c r="F22" s="28"/>
      <c r="G22" s="28"/>
      <c r="H22" s="28"/>
      <c r="I22" s="28"/>
      <c r="J22" s="27"/>
      <c r="K22" s="28"/>
    </row>
    <row r="23" spans="2:11">
      <c r="B23" s="28"/>
      <c r="C23" s="28"/>
      <c r="D23" s="28"/>
      <c r="E23" s="28"/>
      <c r="F23" s="28"/>
      <c r="G23" s="28"/>
      <c r="H23" s="28"/>
      <c r="I23" s="28"/>
      <c r="J23" s="27"/>
      <c r="K23" s="28"/>
    </row>
    <row r="24" spans="2:11">
      <c r="B24" s="28" t="s">
        <v>16</v>
      </c>
      <c r="C24" s="28"/>
      <c r="D24" s="28"/>
      <c r="E24" s="28"/>
      <c r="F24" s="28"/>
      <c r="G24" s="28"/>
      <c r="H24" s="28"/>
      <c r="I24" s="28"/>
      <c r="J24" s="27">
        <v>9</v>
      </c>
      <c r="K24" s="28"/>
    </row>
    <row r="25" spans="2:11">
      <c r="B25" s="28"/>
      <c r="C25" s="28"/>
      <c r="D25" s="28"/>
      <c r="E25" s="28"/>
      <c r="F25" s="28"/>
      <c r="G25" s="28"/>
      <c r="H25" s="28"/>
      <c r="I25" s="28"/>
      <c r="J25" s="27"/>
      <c r="K25" s="28"/>
    </row>
    <row r="26" spans="2:11">
      <c r="B26" s="28"/>
      <c r="C26" s="28"/>
      <c r="D26" s="28"/>
      <c r="E26" s="28"/>
      <c r="F26" s="28"/>
      <c r="G26" s="28"/>
      <c r="H26" s="28"/>
      <c r="I26" s="28"/>
      <c r="J26" s="27"/>
      <c r="K26" s="28"/>
    </row>
    <row r="27" spans="2:11">
      <c r="B27" s="28" t="s">
        <v>17</v>
      </c>
      <c r="C27" s="28"/>
      <c r="D27" s="28"/>
      <c r="E27" s="28"/>
      <c r="F27" s="28"/>
      <c r="G27" s="28"/>
      <c r="H27" s="28"/>
      <c r="I27" s="28"/>
      <c r="J27" s="27">
        <v>10</v>
      </c>
      <c r="K27" s="28"/>
    </row>
    <row r="28" spans="2:11">
      <c r="B28" s="28"/>
      <c r="C28" s="28"/>
      <c r="D28" s="28"/>
      <c r="E28" s="28"/>
      <c r="F28" s="28"/>
      <c r="G28" s="28"/>
      <c r="H28" s="28"/>
      <c r="I28" s="28"/>
      <c r="J28" s="27"/>
      <c r="K28" s="28"/>
    </row>
    <row r="29" spans="2:11">
      <c r="B29" s="28"/>
      <c r="C29" s="28"/>
      <c r="D29" s="28"/>
      <c r="E29" s="28"/>
      <c r="F29" s="28"/>
      <c r="G29" s="28"/>
      <c r="H29" s="28"/>
      <c r="I29" s="28"/>
      <c r="J29" s="27"/>
      <c r="K29" s="28"/>
    </row>
    <row r="30" spans="2:11">
      <c r="B30" s="28" t="s">
        <v>18</v>
      </c>
      <c r="C30" s="28"/>
      <c r="D30" s="28"/>
      <c r="E30" s="28"/>
      <c r="F30" s="28"/>
      <c r="G30" s="28"/>
      <c r="H30" s="28"/>
      <c r="I30" s="28"/>
      <c r="J30" s="30" t="s">
        <v>469</v>
      </c>
      <c r="K30" s="28"/>
    </row>
    <row r="31" spans="2:11">
      <c r="B31" s="28"/>
      <c r="C31" s="28"/>
      <c r="D31" s="28"/>
      <c r="E31" s="28"/>
      <c r="F31" s="28"/>
      <c r="G31" s="28"/>
      <c r="H31" s="28"/>
      <c r="I31" s="28"/>
      <c r="J31" s="27"/>
      <c r="K31" s="28"/>
    </row>
    <row r="32" spans="2:11">
      <c r="B32" s="28"/>
      <c r="C32" s="28"/>
      <c r="D32" s="28"/>
      <c r="E32" s="28"/>
      <c r="F32" s="28"/>
      <c r="G32" s="28"/>
      <c r="H32" s="28"/>
      <c r="I32" s="28"/>
      <c r="J32" s="27"/>
      <c r="K32" s="28"/>
    </row>
    <row r="33" spans="2:11">
      <c r="B33" s="28"/>
      <c r="C33" s="28"/>
      <c r="D33" s="28"/>
      <c r="E33" s="28"/>
      <c r="F33" s="28"/>
      <c r="G33" s="28"/>
      <c r="H33" s="28"/>
      <c r="I33" s="28"/>
      <c r="J33" s="27"/>
      <c r="K33" s="28"/>
    </row>
    <row r="34" spans="2:11">
      <c r="B34" s="28"/>
      <c r="C34" s="28"/>
      <c r="D34" s="28"/>
      <c r="E34" s="28"/>
      <c r="F34" s="28"/>
      <c r="G34" s="28"/>
      <c r="H34" s="28"/>
      <c r="I34" s="28"/>
      <c r="J34" s="27"/>
      <c r="K34" s="28"/>
    </row>
    <row r="35" spans="2:11">
      <c r="B35" s="28"/>
      <c r="C35" s="28"/>
      <c r="D35" s="28"/>
      <c r="E35" s="28"/>
      <c r="F35" s="28"/>
      <c r="G35" s="28"/>
      <c r="H35" s="28"/>
      <c r="I35" s="28"/>
      <c r="J35" s="27"/>
      <c r="K35" s="28"/>
    </row>
    <row r="36" spans="2:11">
      <c r="B36" s="28"/>
      <c r="C36" s="28"/>
      <c r="D36" s="28"/>
      <c r="E36" s="28"/>
      <c r="F36" s="28"/>
      <c r="G36" s="28"/>
      <c r="H36" s="28"/>
      <c r="I36" s="28"/>
      <c r="J36" s="27"/>
      <c r="K36" s="28"/>
    </row>
    <row r="37" spans="2:11">
      <c r="B37" s="28"/>
      <c r="C37" s="28"/>
      <c r="D37" s="28"/>
      <c r="E37" s="28"/>
      <c r="F37" s="28"/>
      <c r="G37" s="28"/>
      <c r="H37" s="28"/>
      <c r="I37" s="28"/>
      <c r="J37" s="27"/>
      <c r="K37" s="28"/>
    </row>
    <row r="38" spans="2:11">
      <c r="B38" s="28"/>
      <c r="C38" s="28"/>
      <c r="D38" s="28"/>
      <c r="E38" s="28"/>
      <c r="F38" s="28"/>
      <c r="G38" s="28"/>
      <c r="H38" s="28"/>
      <c r="I38" s="28"/>
      <c r="J38" s="27"/>
      <c r="K38" s="28"/>
    </row>
  </sheetData>
  <mergeCells count="3">
    <mergeCell ref="A1:J1"/>
    <mergeCell ref="B2:J2"/>
    <mergeCell ref="B3:J3"/>
  </mergeCells>
  <printOptions horizontalCentered="1"/>
  <pageMargins left="0.7" right="0.7" top="0.7416666666666667"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6B980-421B-4584-BE6F-08F97B6004AF}">
  <dimension ref="A1:J45"/>
  <sheetViews>
    <sheetView topLeftCell="A12" workbookViewId="0">
      <selection activeCell="F16" sqref="F16"/>
    </sheetView>
  </sheetViews>
  <sheetFormatPr defaultColWidth="9.1796875" defaultRowHeight="15.5"/>
  <cols>
    <col min="1" max="1" width="26.1796875" style="185" customWidth="1"/>
    <col min="2" max="2" width="8.81640625" style="185" customWidth="1"/>
    <col min="3" max="3" width="10.81640625" style="185" customWidth="1"/>
    <col min="4" max="4" width="7.26953125" style="185" customWidth="1"/>
    <col min="5" max="5" width="15.1796875" style="189" customWidth="1"/>
    <col min="6" max="6" width="13.1796875" style="190" customWidth="1"/>
    <col min="7" max="7" width="16.453125" style="185" bestFit="1" customWidth="1"/>
    <col min="8" max="9" width="9.1796875" style="185"/>
    <col min="10" max="10" width="11.54296875" style="185" bestFit="1" customWidth="1"/>
    <col min="11" max="16384" width="9.1796875" style="185"/>
  </cols>
  <sheetData>
    <row r="1" spans="1:8">
      <c r="A1" s="183" t="s">
        <v>218</v>
      </c>
      <c r="B1" s="183"/>
      <c r="C1" s="183"/>
      <c r="D1" s="183"/>
      <c r="E1" s="184"/>
      <c r="F1" s="184"/>
      <c r="G1" s="183"/>
    </row>
    <row r="2" spans="1:8">
      <c r="A2" s="183" t="s">
        <v>225</v>
      </c>
      <c r="B2" s="183"/>
      <c r="C2" s="183"/>
      <c r="D2" s="183"/>
      <c r="E2" s="184"/>
      <c r="F2" s="184"/>
      <c r="G2" s="183"/>
    </row>
    <row r="4" spans="1:8">
      <c r="C4" s="186" t="s">
        <v>226</v>
      </c>
      <c r="D4" s="186"/>
      <c r="E4" s="186">
        <v>2022</v>
      </c>
      <c r="F4" s="186">
        <v>2021</v>
      </c>
      <c r="G4" s="186"/>
      <c r="H4" s="186"/>
    </row>
    <row r="5" spans="1:8">
      <c r="A5" s="183" t="s">
        <v>227</v>
      </c>
      <c r="B5" s="183"/>
      <c r="E5" s="187" t="s">
        <v>34</v>
      </c>
      <c r="F5" s="187" t="s">
        <v>34</v>
      </c>
      <c r="G5" s="186"/>
      <c r="H5" s="186"/>
    </row>
    <row r="6" spans="1:8">
      <c r="C6" s="188"/>
    </row>
    <row r="7" spans="1:8">
      <c r="A7" s="183" t="s">
        <v>228</v>
      </c>
      <c r="B7" s="183"/>
      <c r="C7" s="191" t="s">
        <v>229</v>
      </c>
    </row>
    <row r="8" spans="1:8">
      <c r="A8" s="185" t="s">
        <v>230</v>
      </c>
      <c r="C8" s="188"/>
      <c r="E8" s="192">
        <f>PPE!T28</f>
        <v>20327533.462399997</v>
      </c>
      <c r="F8" s="193">
        <v>2060834.06</v>
      </c>
      <c r="G8" s="194"/>
      <c r="H8" s="194"/>
    </row>
    <row r="9" spans="1:8" ht="18.5">
      <c r="A9" s="185" t="s">
        <v>231</v>
      </c>
      <c r="C9" s="188"/>
      <c r="E9" s="195">
        <v>0</v>
      </c>
      <c r="F9" s="196">
        <v>0</v>
      </c>
      <c r="G9" s="197"/>
      <c r="H9" s="197"/>
    </row>
    <row r="10" spans="1:8" ht="18.5">
      <c r="C10" s="191"/>
      <c r="E10" s="195">
        <f>SUM(E8:E9)</f>
        <v>20327533.462399997</v>
      </c>
      <c r="F10" s="196">
        <v>2060834.06</v>
      </c>
      <c r="G10" s="194"/>
      <c r="H10" s="194"/>
    </row>
    <row r="11" spans="1:8">
      <c r="C11" s="188"/>
      <c r="E11" s="192"/>
      <c r="F11" s="193"/>
      <c r="G11" s="194"/>
      <c r="H11" s="194"/>
    </row>
    <row r="12" spans="1:8">
      <c r="C12" s="188"/>
      <c r="E12" s="192"/>
      <c r="F12" s="193"/>
      <c r="G12" s="194"/>
      <c r="H12" s="194"/>
    </row>
    <row r="13" spans="1:8">
      <c r="A13" s="183" t="s">
        <v>232</v>
      </c>
      <c r="B13" s="183"/>
      <c r="C13" s="188"/>
      <c r="E13" s="192"/>
      <c r="F13" s="193"/>
      <c r="G13" s="194"/>
      <c r="H13" s="194"/>
    </row>
    <row r="14" spans="1:8">
      <c r="A14" s="185" t="s">
        <v>233</v>
      </c>
      <c r="C14" s="188"/>
      <c r="E14" s="192">
        <f>'NOTE 14-17'!E24</f>
        <v>7087177.8600000003</v>
      </c>
      <c r="F14" s="193">
        <v>901062.92</v>
      </c>
      <c r="G14" s="194"/>
      <c r="H14" s="194"/>
    </row>
    <row r="15" spans="1:8">
      <c r="A15" s="185" t="s">
        <v>234</v>
      </c>
      <c r="C15" s="191" t="s">
        <v>235</v>
      </c>
      <c r="E15" s="192">
        <f>'NOTE 4-9'!E26</f>
        <v>14095583.604955994</v>
      </c>
      <c r="F15" s="193">
        <v>7107389.3099999996</v>
      </c>
      <c r="G15" s="194"/>
      <c r="H15" s="194"/>
    </row>
    <row r="16" spans="1:8">
      <c r="A16" s="185" t="s">
        <v>236</v>
      </c>
      <c r="C16" s="191" t="s">
        <v>237</v>
      </c>
      <c r="E16" s="192">
        <f>TAX!E56</f>
        <v>0</v>
      </c>
      <c r="F16" s="193">
        <v>137002.09495599929</v>
      </c>
      <c r="G16" s="194"/>
      <c r="H16" s="194"/>
    </row>
    <row r="17" spans="1:10" ht="18.5">
      <c r="A17" s="185" t="s">
        <v>238</v>
      </c>
      <c r="C17" s="191" t="s">
        <v>239</v>
      </c>
      <c r="E17" s="195">
        <f>'NOTE 4-9'!E22</f>
        <v>1853033.14</v>
      </c>
      <c r="F17" s="196">
        <v>1082010.1300000001</v>
      </c>
      <c r="G17" s="197"/>
      <c r="H17" s="197"/>
    </row>
    <row r="18" spans="1:10" ht="18.5">
      <c r="C18" s="188"/>
      <c r="E18" s="195">
        <f>SUM(E14:E17)</f>
        <v>23035794.604955994</v>
      </c>
      <c r="F18" s="196">
        <v>9227464.4549559988</v>
      </c>
      <c r="G18" s="197"/>
      <c r="H18" s="197"/>
    </row>
    <row r="19" spans="1:10" ht="18.5">
      <c r="C19" s="188"/>
      <c r="E19" s="192"/>
      <c r="F19" s="196"/>
      <c r="G19" s="197"/>
      <c r="H19" s="197"/>
    </row>
    <row r="20" spans="1:10" ht="17">
      <c r="A20" s="198" t="s">
        <v>240</v>
      </c>
      <c r="B20" s="198"/>
      <c r="C20" s="186"/>
      <c r="D20" s="198"/>
      <c r="E20" s="199">
        <f>SUM(E10+E18)</f>
        <v>43363328.06735599</v>
      </c>
      <c r="F20" s="200">
        <v>11288298.514955999</v>
      </c>
      <c r="G20" s="201"/>
      <c r="H20" s="201"/>
    </row>
    <row r="21" spans="1:10">
      <c r="C21" s="188"/>
      <c r="E21" s="192"/>
      <c r="F21" s="193"/>
      <c r="G21" s="194"/>
      <c r="H21" s="194"/>
    </row>
    <row r="22" spans="1:10">
      <c r="C22" s="188"/>
      <c r="E22" s="192"/>
      <c r="F22" s="193"/>
      <c r="G22" s="194"/>
      <c r="H22" s="194"/>
    </row>
    <row r="23" spans="1:10">
      <c r="A23" s="183" t="s">
        <v>241</v>
      </c>
      <c r="B23" s="183"/>
      <c r="C23" s="188"/>
      <c r="E23" s="192"/>
      <c r="F23" s="193"/>
      <c r="G23" s="194"/>
      <c r="H23" s="194"/>
    </row>
    <row r="24" spans="1:10">
      <c r="A24" s="183" t="s">
        <v>242</v>
      </c>
      <c r="B24" s="183"/>
      <c r="C24" s="188"/>
      <c r="E24" s="192"/>
      <c r="F24" s="193"/>
      <c r="G24" s="194"/>
      <c r="H24" s="194"/>
    </row>
    <row r="25" spans="1:10">
      <c r="A25" s="185" t="s">
        <v>243</v>
      </c>
      <c r="C25" s="188"/>
      <c r="E25" s="192">
        <f>CIE!C17</f>
        <v>7000000</v>
      </c>
      <c r="F25" s="193">
        <v>1000000</v>
      </c>
      <c r="G25" s="194"/>
      <c r="H25" s="194"/>
    </row>
    <row r="26" spans="1:10" ht="18.5">
      <c r="A26" s="185" t="s">
        <v>244</v>
      </c>
      <c r="C26" s="188"/>
      <c r="E26" s="195">
        <f>CIE!E17</f>
        <v>10907797.17698719</v>
      </c>
      <c r="F26" s="196">
        <v>4252352.9049560027</v>
      </c>
      <c r="G26" s="197"/>
      <c r="H26" s="197"/>
    </row>
    <row r="27" spans="1:10" ht="18.5">
      <c r="C27" s="188"/>
      <c r="E27" s="195">
        <f>SUM(E25:E26)</f>
        <v>17907797.17698719</v>
      </c>
      <c r="F27" s="196">
        <v>5252352.9049560027</v>
      </c>
      <c r="G27" s="197"/>
      <c r="H27" s="197"/>
    </row>
    <row r="28" spans="1:10">
      <c r="C28" s="188"/>
      <c r="E28" s="192"/>
      <c r="F28" s="193"/>
      <c r="G28" s="194"/>
      <c r="H28" s="194"/>
      <c r="J28" s="202"/>
    </row>
    <row r="29" spans="1:10">
      <c r="A29" s="183" t="s">
        <v>87</v>
      </c>
      <c r="B29" s="183"/>
      <c r="C29" s="188"/>
      <c r="E29" s="192"/>
      <c r="F29" s="193"/>
      <c r="G29" s="194"/>
      <c r="H29" s="194"/>
    </row>
    <row r="30" spans="1:10">
      <c r="A30" s="185" t="s">
        <v>245</v>
      </c>
      <c r="C30" s="191" t="s">
        <v>246</v>
      </c>
      <c r="E30" s="192">
        <v>0</v>
      </c>
      <c r="F30" s="193">
        <v>167716.51999999999</v>
      </c>
      <c r="G30" s="194"/>
      <c r="H30" s="194"/>
    </row>
    <row r="31" spans="1:10">
      <c r="A31" s="185" t="s">
        <v>247</v>
      </c>
      <c r="C31" s="191" t="s">
        <v>248</v>
      </c>
      <c r="E31" s="192">
        <f>'NOTE 4-9'!E30</f>
        <v>20569355.109999999</v>
      </c>
      <c r="F31" s="193">
        <v>5666570.7499999963</v>
      </c>
      <c r="G31" s="194"/>
      <c r="H31" s="194"/>
    </row>
    <row r="32" spans="1:10">
      <c r="A32" s="185" t="s">
        <v>249</v>
      </c>
      <c r="C32" s="191" t="s">
        <v>237</v>
      </c>
      <c r="E32" s="192">
        <f>TAX!E48</f>
        <v>233193.5703687981</v>
      </c>
      <c r="F32" s="193"/>
      <c r="G32" s="194"/>
      <c r="H32" s="194"/>
    </row>
    <row r="33" spans="1:10">
      <c r="A33" s="185" t="s">
        <v>60</v>
      </c>
      <c r="C33" s="191"/>
      <c r="E33" s="192">
        <v>809600</v>
      </c>
      <c r="F33" s="193">
        <v>184000</v>
      </c>
      <c r="G33" s="194"/>
      <c r="H33" s="194"/>
    </row>
    <row r="34" spans="1:10" ht="18.5">
      <c r="A34" s="185" t="s">
        <v>250</v>
      </c>
      <c r="C34" s="191" t="s">
        <v>251</v>
      </c>
      <c r="E34" s="192">
        <f>'NOTE 4-9'!E44</f>
        <v>243382.08000000002</v>
      </c>
      <c r="F34" s="193">
        <v>17658.339999999982</v>
      </c>
      <c r="G34" s="197"/>
      <c r="H34" s="197"/>
    </row>
    <row r="35" spans="1:10" ht="18.5">
      <c r="A35" s="185" t="s">
        <v>252</v>
      </c>
      <c r="C35" s="191"/>
      <c r="D35" s="191"/>
      <c r="E35" s="203">
        <v>3600000</v>
      </c>
      <c r="F35" s="204">
        <v>0</v>
      </c>
      <c r="G35" s="205"/>
      <c r="H35" s="205"/>
      <c r="I35" s="197"/>
      <c r="J35" s="197"/>
    </row>
    <row r="36" spans="1:10" ht="18.5">
      <c r="C36" s="188"/>
      <c r="E36" s="195">
        <f>SUM(E30:E35)</f>
        <v>25455530.760368794</v>
      </c>
      <c r="F36" s="196">
        <v>6035945.6099999957</v>
      </c>
      <c r="G36" s="197"/>
      <c r="H36" s="197"/>
    </row>
    <row r="37" spans="1:10" ht="18.5">
      <c r="C37" s="188"/>
      <c r="E37" s="192"/>
      <c r="F37" s="196"/>
      <c r="G37" s="197"/>
      <c r="H37" s="197"/>
    </row>
    <row r="38" spans="1:10" ht="17">
      <c r="A38" s="198" t="s">
        <v>253</v>
      </c>
      <c r="B38" s="198"/>
      <c r="C38" s="186"/>
      <c r="D38" s="198"/>
      <c r="E38" s="199">
        <f>SUM(E27+E36)</f>
        <v>43363327.93735598</v>
      </c>
      <c r="F38" s="200">
        <v>11288298.514955997</v>
      </c>
      <c r="G38" s="201"/>
      <c r="H38" s="201"/>
    </row>
    <row r="39" spans="1:10">
      <c r="E39" s="192"/>
    </row>
    <row r="40" spans="1:10">
      <c r="E40" s="192"/>
    </row>
    <row r="41" spans="1:10" s="206" customFormat="1">
      <c r="E41" s="207"/>
      <c r="F41" s="208"/>
    </row>
    <row r="42" spans="1:10">
      <c r="E42" s="192"/>
    </row>
    <row r="43" spans="1:10">
      <c r="A43" s="198" t="s">
        <v>254</v>
      </c>
      <c r="B43" s="198"/>
      <c r="C43" s="198"/>
      <c r="D43" s="198"/>
      <c r="E43" s="189" t="s">
        <v>255</v>
      </c>
    </row>
    <row r="44" spans="1:10">
      <c r="A44" s="198" t="s">
        <v>256</v>
      </c>
      <c r="B44" s="198"/>
      <c r="C44" s="198"/>
      <c r="D44" s="198"/>
      <c r="E44" s="189" t="s">
        <v>257</v>
      </c>
    </row>
    <row r="45" spans="1:10">
      <c r="C45" s="188">
        <v>7</v>
      </c>
      <c r="D45" s="188"/>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5356D-A0EE-4E48-A6A3-1FAFE3C29DAE}">
  <dimension ref="A1:H43"/>
  <sheetViews>
    <sheetView topLeftCell="A6" workbookViewId="0">
      <selection sqref="A1:I1"/>
    </sheetView>
  </sheetViews>
  <sheetFormatPr defaultColWidth="9.1796875" defaultRowHeight="15.5"/>
  <cols>
    <col min="1" max="1" width="18.453125" style="185" customWidth="1"/>
    <col min="2" max="2" width="20.1796875" style="185" customWidth="1"/>
    <col min="3" max="3" width="9.1796875" style="185"/>
    <col min="4" max="4" width="5.1796875" style="185" customWidth="1"/>
    <col min="5" max="5" width="14.26953125" style="192" customWidth="1"/>
    <col min="6" max="6" width="13.7265625" style="193" customWidth="1"/>
    <col min="7" max="7" width="14" style="185" customWidth="1"/>
    <col min="8" max="16384" width="9.1796875" style="185"/>
  </cols>
  <sheetData>
    <row r="1" spans="1:8">
      <c r="A1" s="183" t="s">
        <v>218</v>
      </c>
      <c r="B1" s="183"/>
      <c r="C1" s="183"/>
      <c r="D1" s="183"/>
      <c r="E1" s="209"/>
      <c r="F1" s="209"/>
      <c r="G1" s="183"/>
      <c r="H1" s="183"/>
    </row>
    <row r="2" spans="1:8">
      <c r="A2" s="183" t="s">
        <v>258</v>
      </c>
      <c r="B2" s="183"/>
      <c r="C2" s="183"/>
      <c r="D2" s="183"/>
      <c r="E2" s="209"/>
      <c r="F2" s="209"/>
      <c r="G2" s="183"/>
      <c r="H2" s="183"/>
    </row>
    <row r="3" spans="1:8">
      <c r="A3" s="183"/>
      <c r="B3" s="183"/>
      <c r="C3" s="183"/>
      <c r="D3" s="183"/>
      <c r="E3" s="209"/>
      <c r="F3" s="209"/>
      <c r="G3" s="183"/>
      <c r="H3" s="183"/>
    </row>
    <row r="4" spans="1:8">
      <c r="A4" s="183"/>
      <c r="B4" s="183"/>
      <c r="C4" s="183"/>
      <c r="D4" s="183"/>
      <c r="E4" s="209"/>
      <c r="F4" s="209"/>
      <c r="G4" s="183"/>
      <c r="H4" s="183"/>
    </row>
    <row r="5" spans="1:8">
      <c r="C5" s="186" t="s">
        <v>226</v>
      </c>
      <c r="E5" s="210">
        <v>2022</v>
      </c>
      <c r="F5" s="211">
        <v>2021</v>
      </c>
      <c r="G5" s="186"/>
      <c r="H5" s="186"/>
    </row>
    <row r="6" spans="1:8">
      <c r="E6" s="212" t="s">
        <v>34</v>
      </c>
      <c r="F6" s="213" t="s">
        <v>34</v>
      </c>
      <c r="G6" s="186"/>
      <c r="H6" s="186"/>
    </row>
    <row r="8" spans="1:8">
      <c r="A8" s="185" t="s">
        <v>259</v>
      </c>
      <c r="C8" s="191" t="s">
        <v>260</v>
      </c>
      <c r="E8" s="192">
        <f>'NOTE 14-17'!E35</f>
        <v>46797157.989999995</v>
      </c>
      <c r="F8" s="193">
        <v>18434394.460000001</v>
      </c>
      <c r="G8" s="194"/>
      <c r="H8" s="194"/>
    </row>
    <row r="9" spans="1:8">
      <c r="G9" s="194"/>
      <c r="H9" s="194"/>
    </row>
    <row r="10" spans="1:8" ht="18.5">
      <c r="A10" s="185" t="s">
        <v>261</v>
      </c>
      <c r="C10" s="191" t="s">
        <v>262</v>
      </c>
      <c r="E10" s="209">
        <f>'NOTE 14-17'!E25</f>
        <v>35711151.750000007</v>
      </c>
      <c r="F10" s="196">
        <v>14450562.929999998</v>
      </c>
      <c r="G10" s="197"/>
      <c r="H10" s="197"/>
    </row>
    <row r="11" spans="1:8" ht="18.5">
      <c r="C11" s="191"/>
      <c r="F11" s="196"/>
      <c r="G11" s="197"/>
      <c r="H11" s="197"/>
    </row>
    <row r="12" spans="1:8">
      <c r="A12" s="185" t="s">
        <v>263</v>
      </c>
      <c r="E12" s="192">
        <f>SUM(E8-E10)</f>
        <v>11086006.239999987</v>
      </c>
      <c r="F12" s="193">
        <v>3983831.5300000031</v>
      </c>
      <c r="G12" s="194"/>
      <c r="H12" s="194"/>
    </row>
    <row r="13" spans="1:8">
      <c r="G13" s="194"/>
      <c r="H13" s="194"/>
    </row>
    <row r="14" spans="1:8">
      <c r="A14" s="185" t="s">
        <v>264</v>
      </c>
      <c r="C14" s="214" t="s">
        <v>229</v>
      </c>
      <c r="E14" s="192">
        <f>'NOTE 14-17'!E40</f>
        <v>2260070.2599999998</v>
      </c>
      <c r="F14" s="193">
        <v>187100.68</v>
      </c>
      <c r="G14" s="194"/>
      <c r="H14" s="194"/>
    </row>
    <row r="15" spans="1:8" ht="15.75" hidden="1" customHeight="1">
      <c r="G15" s="194"/>
      <c r="H15" s="194"/>
    </row>
    <row r="16" spans="1:8" hidden="1">
      <c r="A16" s="185" t="s">
        <v>265</v>
      </c>
      <c r="E16" s="192">
        <v>0</v>
      </c>
      <c r="F16" s="193">
        <v>0</v>
      </c>
      <c r="G16" s="194"/>
      <c r="H16" s="194"/>
    </row>
    <row r="17" spans="1:8" hidden="1">
      <c r="G17" s="194"/>
      <c r="H17" s="194"/>
    </row>
    <row r="19" spans="1:8" ht="18.5">
      <c r="A19" s="185" t="s">
        <v>266</v>
      </c>
      <c r="C19" s="191" t="s">
        <v>267</v>
      </c>
      <c r="E19" s="195">
        <f>-'NOTE 10-13'!E37</f>
        <v>-4442099.5775999995</v>
      </c>
      <c r="F19" s="196">
        <v>-2578989.2799999998</v>
      </c>
      <c r="G19" s="197"/>
      <c r="H19" s="197"/>
    </row>
    <row r="20" spans="1:8">
      <c r="G20" s="194"/>
      <c r="H20" s="194"/>
    </row>
    <row r="21" spans="1:8">
      <c r="A21" s="185" t="s">
        <v>268</v>
      </c>
      <c r="E21" s="192">
        <f>SUM(E12+E14+E19)</f>
        <v>8903976.9223999865</v>
      </c>
      <c r="F21" s="193">
        <v>1591942.9300000034</v>
      </c>
      <c r="G21" s="194"/>
      <c r="H21" s="194"/>
    </row>
    <row r="22" spans="1:8">
      <c r="G22" s="194"/>
      <c r="H22" s="194"/>
    </row>
    <row r="23" spans="1:8">
      <c r="A23" s="185" t="s">
        <v>269</v>
      </c>
      <c r="E23" s="192">
        <v>-369882</v>
      </c>
      <c r="F23" s="193">
        <v>-115634.87</v>
      </c>
      <c r="G23" s="194"/>
      <c r="H23" s="194"/>
    </row>
    <row r="24" spans="1:8">
      <c r="G24" s="194"/>
      <c r="H24" s="194"/>
    </row>
    <row r="25" spans="1:8" ht="18.5">
      <c r="A25" s="185" t="s">
        <v>270</v>
      </c>
      <c r="E25" s="195">
        <v>0</v>
      </c>
      <c r="F25" s="196">
        <v>0</v>
      </c>
      <c r="G25" s="194"/>
      <c r="H25" s="197"/>
    </row>
    <row r="26" spans="1:8">
      <c r="G26" s="194"/>
      <c r="H26" s="194"/>
    </row>
    <row r="27" spans="1:8">
      <c r="A27" s="185" t="s">
        <v>271</v>
      </c>
      <c r="E27" s="192">
        <f>SUM(E21:E26)</f>
        <v>8534094.9223999865</v>
      </c>
      <c r="F27" s="193">
        <v>1476308.0600000033</v>
      </c>
      <c r="G27" s="194"/>
      <c r="H27" s="194"/>
    </row>
    <row r="28" spans="1:8">
      <c r="G28" s="194"/>
      <c r="H28" s="194"/>
    </row>
    <row r="29" spans="1:8" ht="18.5">
      <c r="A29" s="185" t="s">
        <v>158</v>
      </c>
      <c r="E29" s="195">
        <f>-TAX!E39</f>
        <v>-998650.65036879806</v>
      </c>
      <c r="F29" s="196">
        <v>-293462.60504400072</v>
      </c>
      <c r="G29" s="197"/>
      <c r="H29" s="197"/>
    </row>
    <row r="30" spans="1:8">
      <c r="G30" s="194"/>
      <c r="H30" s="194"/>
    </row>
    <row r="31" spans="1:8" ht="18.5">
      <c r="A31" s="185" t="s">
        <v>272</v>
      </c>
      <c r="E31" s="195">
        <f>SUM(E26:E30)</f>
        <v>7535444.272031188</v>
      </c>
      <c r="F31" s="196">
        <v>1182845.4549560025</v>
      </c>
      <c r="G31" s="197"/>
      <c r="H31" s="197"/>
    </row>
    <row r="32" spans="1:8">
      <c r="G32" s="194"/>
      <c r="H32" s="194"/>
    </row>
    <row r="33" spans="3:8">
      <c r="G33" s="194"/>
      <c r="H33" s="194"/>
    </row>
    <row r="34" spans="3:8">
      <c r="G34" s="194"/>
    </row>
    <row r="35" spans="3:8">
      <c r="G35" s="194"/>
    </row>
    <row r="36" spans="3:8">
      <c r="G36" s="194"/>
    </row>
    <row r="43" spans="3:8">
      <c r="C43" s="188">
        <v>8</v>
      </c>
    </row>
  </sheetData>
  <pageMargins left="0.7" right="0.7" top="0.75" bottom="0.75" header="0.3" footer="0.3"/>
  <pageSetup scale="9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426F7-4CA2-49F0-8C88-347D74B35470}">
  <dimension ref="A1:G39"/>
  <sheetViews>
    <sheetView workbookViewId="0">
      <selection sqref="A1:I1"/>
    </sheetView>
  </sheetViews>
  <sheetFormatPr defaultColWidth="9.1796875" defaultRowHeight="15.5"/>
  <cols>
    <col min="1" max="1" width="9.1796875" style="193"/>
    <col min="2" max="2" width="17.81640625" style="193" customWidth="1"/>
    <col min="3" max="3" width="15.453125" style="193" customWidth="1"/>
    <col min="4" max="4" width="1.1796875" style="193" customWidth="1"/>
    <col min="5" max="5" width="12.81640625" style="193" customWidth="1"/>
    <col min="6" max="6" width="1.7265625" style="193" customWidth="1"/>
    <col min="7" max="7" width="12.81640625" style="193" customWidth="1"/>
    <col min="8" max="16384" width="9.1796875" style="193"/>
  </cols>
  <sheetData>
    <row r="1" spans="1:7">
      <c r="A1" s="209" t="s">
        <v>218</v>
      </c>
    </row>
    <row r="2" spans="1:7">
      <c r="A2" s="209" t="s">
        <v>16</v>
      </c>
    </row>
    <row r="3" spans="1:7">
      <c r="A3" s="192" t="s">
        <v>6</v>
      </c>
    </row>
    <row r="4" spans="1:7">
      <c r="A4" s="192"/>
    </row>
    <row r="5" spans="1:7">
      <c r="C5" s="212" t="s">
        <v>273</v>
      </c>
      <c r="D5" s="212"/>
      <c r="E5" s="212" t="s">
        <v>274</v>
      </c>
      <c r="F5" s="212"/>
      <c r="G5" s="212" t="s">
        <v>275</v>
      </c>
    </row>
    <row r="6" spans="1:7">
      <c r="C6" s="215" t="s">
        <v>276</v>
      </c>
      <c r="D6" s="215"/>
      <c r="E6" s="215" t="s">
        <v>277</v>
      </c>
      <c r="F6" s="215"/>
      <c r="G6" s="212"/>
    </row>
    <row r="7" spans="1:7">
      <c r="C7" s="213" t="s">
        <v>34</v>
      </c>
      <c r="D7" s="213"/>
      <c r="E7" s="213" t="str">
        <f>C7</f>
        <v>GH¢</v>
      </c>
      <c r="F7" s="213"/>
      <c r="G7" s="213" t="str">
        <f>E7</f>
        <v>GH¢</v>
      </c>
    </row>
    <row r="8" spans="1:7">
      <c r="A8" s="193" t="s">
        <v>278</v>
      </c>
      <c r="C8" s="213">
        <v>1000000</v>
      </c>
      <c r="D8" s="213"/>
      <c r="E8" s="213">
        <v>4252352.9049560027</v>
      </c>
      <c r="F8" s="213"/>
      <c r="G8" s="213">
        <f>SUM(C8:F8)</f>
        <v>5252352.9049560027</v>
      </c>
    </row>
    <row r="9" spans="1:7" ht="4.5" customHeight="1">
      <c r="C9" s="213"/>
      <c r="D9" s="213"/>
      <c r="E9" s="213"/>
      <c r="F9" s="213"/>
      <c r="G9" s="213"/>
    </row>
    <row r="10" spans="1:7">
      <c r="C10" s="213"/>
      <c r="D10" s="213"/>
      <c r="E10" s="213"/>
      <c r="F10" s="213"/>
      <c r="G10" s="213"/>
    </row>
    <row r="11" spans="1:7">
      <c r="A11" s="193" t="s">
        <v>279</v>
      </c>
      <c r="C11" s="213">
        <v>6000000</v>
      </c>
      <c r="D11" s="213"/>
      <c r="E11" s="213">
        <f>SPnL!E31</f>
        <v>7535444.272031188</v>
      </c>
      <c r="F11" s="213"/>
      <c r="G11" s="213">
        <f>SUM(C11:F11)</f>
        <v>13535444.272031188</v>
      </c>
    </row>
    <row r="12" spans="1:7" ht="2.25" customHeight="1">
      <c r="C12" s="213"/>
      <c r="D12" s="213"/>
      <c r="E12" s="213"/>
      <c r="F12" s="213"/>
      <c r="G12" s="213"/>
    </row>
    <row r="13" spans="1:7">
      <c r="C13" s="213"/>
      <c r="D13" s="213"/>
      <c r="E13" s="213"/>
      <c r="F13" s="213"/>
      <c r="G13" s="213"/>
    </row>
    <row r="14" spans="1:7">
      <c r="A14" s="193" t="s">
        <v>280</v>
      </c>
      <c r="C14" s="213">
        <v>0</v>
      </c>
      <c r="D14" s="213"/>
      <c r="E14" s="213">
        <v>-880000</v>
      </c>
      <c r="F14" s="213"/>
      <c r="G14" s="213">
        <f>SUM(C14:F14)</f>
        <v>-880000</v>
      </c>
    </row>
    <row r="15" spans="1:7" ht="3.75" customHeight="1">
      <c r="C15" s="213"/>
      <c r="D15" s="213"/>
      <c r="E15" s="213"/>
      <c r="F15" s="213"/>
      <c r="G15" s="213"/>
    </row>
    <row r="16" spans="1:7">
      <c r="C16" s="213"/>
      <c r="D16" s="213"/>
      <c r="E16" s="213"/>
      <c r="F16" s="213"/>
      <c r="G16" s="213"/>
    </row>
    <row r="17" spans="1:7" s="192" customFormat="1" ht="17">
      <c r="A17" s="192" t="s">
        <v>281</v>
      </c>
      <c r="C17" s="216">
        <f>SUM(C8:C16)</f>
        <v>7000000</v>
      </c>
      <c r="D17" s="217"/>
      <c r="E17" s="216">
        <f>SUM(E8:E16)</f>
        <v>10907797.17698719</v>
      </c>
      <c r="F17" s="217"/>
      <c r="G17" s="216">
        <f>SUM(C17:F17)</f>
        <v>17907797.17698719</v>
      </c>
    </row>
    <row r="32" spans="1:7">
      <c r="D32" s="213">
        <v>9</v>
      </c>
    </row>
    <row r="39" spans="3:3">
      <c r="C39" s="213"/>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265A4-2F22-4278-8618-F95843136F6A}">
  <dimension ref="A1:H48"/>
  <sheetViews>
    <sheetView topLeftCell="A18" workbookViewId="0">
      <selection sqref="A1:I1"/>
    </sheetView>
  </sheetViews>
  <sheetFormatPr defaultColWidth="9.1796875" defaultRowHeight="15.5"/>
  <cols>
    <col min="1" max="1" width="27.54296875" style="185" customWidth="1"/>
    <col min="2" max="2" width="13.26953125" style="185" customWidth="1"/>
    <col min="3" max="3" width="9.1796875" style="185"/>
    <col min="4" max="4" width="14.7265625" style="222" customWidth="1"/>
    <col min="5" max="5" width="13.26953125" style="193" bestFit="1" customWidth="1"/>
    <col min="6" max="6" width="11.54296875" style="185" bestFit="1" customWidth="1"/>
    <col min="7" max="16384" width="9.1796875" style="185"/>
  </cols>
  <sheetData>
    <row r="1" spans="1:5">
      <c r="A1" s="183" t="s">
        <v>282</v>
      </c>
      <c r="B1" s="183"/>
      <c r="C1" s="183"/>
      <c r="D1" s="218"/>
    </row>
    <row r="2" spans="1:5">
      <c r="A2" s="183" t="s">
        <v>283</v>
      </c>
      <c r="B2" s="183"/>
      <c r="C2" s="183"/>
      <c r="D2" s="218"/>
    </row>
    <row r="3" spans="1:5">
      <c r="A3" s="183"/>
      <c r="B3" s="183"/>
      <c r="C3" s="183"/>
      <c r="D3" s="218"/>
    </row>
    <row r="4" spans="1:5">
      <c r="D4" s="219">
        <v>2022</v>
      </c>
      <c r="E4" s="220">
        <v>2021</v>
      </c>
    </row>
    <row r="5" spans="1:5">
      <c r="D5" s="221" t="s">
        <v>34</v>
      </c>
      <c r="E5" s="213" t="str">
        <f>D5</f>
        <v>GH¢</v>
      </c>
    </row>
    <row r="6" spans="1:5">
      <c r="A6" s="183" t="s">
        <v>284</v>
      </c>
    </row>
    <row r="7" spans="1:5">
      <c r="A7" s="185" t="s">
        <v>285</v>
      </c>
      <c r="D7" s="222">
        <f>SPnL!E27</f>
        <v>8534094.9223999865</v>
      </c>
      <c r="E7" s="193">
        <v>1476308.0600000033</v>
      </c>
    </row>
    <row r="9" spans="1:5">
      <c r="A9" s="183" t="s">
        <v>286</v>
      </c>
    </row>
    <row r="10" spans="1:5">
      <c r="A10" s="185" t="s">
        <v>141</v>
      </c>
      <c r="D10" s="223">
        <f>'NOTE 10-13'!E33</f>
        <v>996336.70759999985</v>
      </c>
      <c r="E10" s="224">
        <v>215480.53999999998</v>
      </c>
    </row>
    <row r="11" spans="1:5">
      <c r="D11" s="222">
        <f>D7+D10</f>
        <v>9530431.6299999859</v>
      </c>
      <c r="E11" s="193">
        <f>E7+E10</f>
        <v>1691788.6000000034</v>
      </c>
    </row>
    <row r="13" spans="1:5">
      <c r="A13" s="185" t="s">
        <v>287</v>
      </c>
      <c r="D13" s="222">
        <f>'SFP (2)'!F15-'SFP (2)'!E15</f>
        <v>-6988194.294955994</v>
      </c>
      <c r="E13" s="193">
        <v>-6234042</v>
      </c>
    </row>
    <row r="14" spans="1:5">
      <c r="A14" s="185" t="s">
        <v>288</v>
      </c>
      <c r="D14" s="222">
        <f>'SFP (2)'!F14-'SFP (2)'!E14</f>
        <v>-6186114.9400000004</v>
      </c>
      <c r="E14" s="193">
        <v>-232082</v>
      </c>
    </row>
    <row r="15" spans="1:5">
      <c r="A15" s="185" t="s">
        <v>289</v>
      </c>
      <c r="D15" s="222">
        <f>'SFP (2)'!E31+'SFP (2)'!E32-'SFP (2)'!F31</f>
        <v>15135977.9303688</v>
      </c>
      <c r="E15" s="193">
        <v>2823571</v>
      </c>
    </row>
    <row r="16" spans="1:5" s="198" customFormat="1">
      <c r="A16" s="198" t="s">
        <v>290</v>
      </c>
      <c r="D16" s="222">
        <f>SUM(D13:D15)</f>
        <v>1961668.6954128053</v>
      </c>
      <c r="E16" s="193">
        <f>SUM(E13:E15)</f>
        <v>-3642553</v>
      </c>
    </row>
    <row r="18" spans="1:8" s="198" customFormat="1">
      <c r="A18" s="198" t="s">
        <v>291</v>
      </c>
      <c r="D18" s="225">
        <f>D16+D11</f>
        <v>11492100.325412791</v>
      </c>
      <c r="E18" s="205">
        <f>E16+E11</f>
        <v>-1950764.3999999966</v>
      </c>
    </row>
    <row r="20" spans="1:8">
      <c r="A20" s="185" t="s">
        <v>292</v>
      </c>
      <c r="D20" s="192">
        <v>-234000</v>
      </c>
      <c r="E20" s="193">
        <v>-82349.820000000007</v>
      </c>
    </row>
    <row r="21" spans="1:8">
      <c r="A21" s="185" t="s">
        <v>293</v>
      </c>
    </row>
    <row r="22" spans="1:8">
      <c r="A22" s="185" t="s">
        <v>294</v>
      </c>
      <c r="D22" s="222">
        <f>-TAX!E44-TAX!E46</f>
        <v>-641455.07999999996</v>
      </c>
      <c r="E22" s="193">
        <v>-372791</v>
      </c>
    </row>
    <row r="24" spans="1:8" s="198" customFormat="1" ht="16" thickBot="1">
      <c r="A24" s="198" t="s">
        <v>295</v>
      </c>
      <c r="D24" s="226">
        <f>SUM(D18:D23)</f>
        <v>10616645.245412791</v>
      </c>
      <c r="E24" s="227">
        <f>SUM(E18:E23)</f>
        <v>-2405905.2199999969</v>
      </c>
    </row>
    <row r="25" spans="1:8" ht="16" thickTop="1"/>
    <row r="26" spans="1:8">
      <c r="A26" s="183" t="s">
        <v>296</v>
      </c>
    </row>
    <row r="27" spans="1:8">
      <c r="A27" s="185" t="s">
        <v>297</v>
      </c>
      <c r="D27" s="222">
        <f>-PPE!T12</f>
        <v>-19263036.119999997</v>
      </c>
      <c r="E27" s="193">
        <v>-92719</v>
      </c>
    </row>
    <row r="28" spans="1:8" ht="18.5">
      <c r="A28" s="185" t="s">
        <v>298</v>
      </c>
      <c r="D28" s="222">
        <v>3600000</v>
      </c>
      <c r="E28" s="193">
        <v>0</v>
      </c>
      <c r="H28" s="195"/>
    </row>
    <row r="29" spans="1:8">
      <c r="A29" s="185" t="s">
        <v>299</v>
      </c>
      <c r="D29" s="222">
        <v>6000000</v>
      </c>
      <c r="E29" s="193">
        <v>0</v>
      </c>
      <c r="H29" s="190"/>
    </row>
    <row r="30" spans="1:8">
      <c r="A30" s="185" t="s">
        <v>300</v>
      </c>
      <c r="D30" s="222">
        <v>0</v>
      </c>
      <c r="E30" s="193">
        <v>-278814</v>
      </c>
      <c r="F30" s="194"/>
    </row>
    <row r="31" spans="1:8" ht="18.5">
      <c r="A31" s="185" t="s">
        <v>301</v>
      </c>
      <c r="D31" s="228">
        <v>0</v>
      </c>
      <c r="E31" s="193">
        <v>0</v>
      </c>
    </row>
    <row r="32" spans="1:8" s="198" customFormat="1" ht="16" thickBot="1">
      <c r="A32" s="198" t="s">
        <v>302</v>
      </c>
      <c r="D32" s="226">
        <f>SUM(D27:D31)</f>
        <v>-9663036.1199999973</v>
      </c>
      <c r="E32" s="227">
        <f>SUM(E27:E31)</f>
        <v>-371533</v>
      </c>
    </row>
    <row r="33" spans="1:6" ht="16" thickTop="1"/>
    <row r="34" spans="1:6">
      <c r="A34" s="183" t="s">
        <v>303</v>
      </c>
    </row>
    <row r="35" spans="1:6">
      <c r="A35" s="185" t="s">
        <v>304</v>
      </c>
      <c r="D35" s="222">
        <v>-182586</v>
      </c>
      <c r="E35" s="193">
        <v>-101008</v>
      </c>
    </row>
    <row r="36" spans="1:6">
      <c r="A36" s="185" t="s">
        <v>305</v>
      </c>
      <c r="E36" s="193">
        <v>107355.43</v>
      </c>
    </row>
    <row r="37" spans="1:6" ht="18.5">
      <c r="D37" s="228"/>
    </row>
    <row r="38" spans="1:6" s="198" customFormat="1" ht="16" thickBot="1">
      <c r="A38" s="198" t="s">
        <v>306</v>
      </c>
      <c r="D38" s="226">
        <f>SUM(D35:D37)</f>
        <v>-182586</v>
      </c>
      <c r="E38" s="227">
        <f>SUM(E35:E37)</f>
        <v>6347.429999999993</v>
      </c>
    </row>
    <row r="39" spans="1:6" ht="16" thickTop="1"/>
    <row r="40" spans="1:6">
      <c r="A40" s="185" t="s">
        <v>307</v>
      </c>
      <c r="D40" s="222">
        <f>D24+D32+D38</f>
        <v>771023.12541279383</v>
      </c>
      <c r="E40" s="222">
        <f>E24+E32+E38</f>
        <v>-2771090.7899999968</v>
      </c>
    </row>
    <row r="41" spans="1:6">
      <c r="A41" s="185" t="s">
        <v>308</v>
      </c>
      <c r="D41" s="222">
        <f>'SFP (2)'!F17</f>
        <v>1082010.1300000001</v>
      </c>
      <c r="E41" s="193">
        <v>3853100.4</v>
      </c>
    </row>
    <row r="42" spans="1:6" s="198" customFormat="1" ht="16" thickBot="1">
      <c r="A42" s="198" t="s">
        <v>309</v>
      </c>
      <c r="D42" s="226">
        <f>SUM(D40:D41)</f>
        <v>1853033.255412794</v>
      </c>
      <c r="E42" s="227">
        <f>SUM(E40:E41)</f>
        <v>1082009.6100000031</v>
      </c>
    </row>
    <row r="43" spans="1:6" ht="17.5" thickTop="1">
      <c r="D43" s="229"/>
    </row>
    <row r="44" spans="1:6">
      <c r="A44" s="198"/>
      <c r="D44" s="225"/>
    </row>
    <row r="45" spans="1:6" ht="17">
      <c r="B45" s="188"/>
      <c r="C45" s="188"/>
      <c r="D45" s="230"/>
      <c r="E45" s="231"/>
      <c r="F45" s="202"/>
    </row>
    <row r="48" spans="1:6">
      <c r="C48" s="185">
        <v>10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81F76-8537-4816-B34B-457EA514F534}">
  <dimension ref="A1:Q65"/>
  <sheetViews>
    <sheetView topLeftCell="A29" workbookViewId="0">
      <selection sqref="A1:I1"/>
    </sheetView>
  </sheetViews>
  <sheetFormatPr defaultColWidth="9.1796875" defaultRowHeight="15.5"/>
  <cols>
    <col min="1" max="1" width="7.453125" style="185" customWidth="1"/>
    <col min="2" max="2" width="25.81640625" style="185" customWidth="1"/>
    <col min="3" max="3" width="13.54296875" style="185" customWidth="1"/>
    <col min="4" max="4" width="5.81640625" style="185" customWidth="1"/>
    <col min="5" max="5" width="14.26953125" style="198" customWidth="1"/>
    <col min="6" max="6" width="14.54296875" style="193" bestFit="1" customWidth="1"/>
    <col min="7" max="16384" width="9.1796875" style="185"/>
  </cols>
  <sheetData>
    <row r="1" spans="1:17" s="232" customFormat="1" ht="20">
      <c r="A1" s="192" t="s">
        <v>218</v>
      </c>
      <c r="C1" s="233"/>
      <c r="D1" s="233"/>
      <c r="E1" s="233"/>
      <c r="F1" s="234"/>
      <c r="G1" s="233"/>
      <c r="H1" s="233"/>
      <c r="I1" s="233"/>
      <c r="J1" s="233"/>
      <c r="K1" s="235"/>
      <c r="L1" s="235"/>
      <c r="M1" s="235"/>
      <c r="N1" s="235"/>
      <c r="O1" s="235"/>
      <c r="P1" s="235"/>
      <c r="Q1" s="235"/>
    </row>
    <row r="2" spans="1:17" s="232" customFormat="1">
      <c r="A2" s="236" t="s">
        <v>310</v>
      </c>
      <c r="C2" s="56"/>
      <c r="D2" s="56"/>
      <c r="E2" s="56"/>
      <c r="F2" s="237"/>
      <c r="G2" s="56"/>
      <c r="H2" s="56"/>
      <c r="I2" s="56"/>
      <c r="J2" s="56"/>
      <c r="K2" s="235"/>
      <c r="L2" s="235"/>
      <c r="M2" s="235"/>
      <c r="N2" s="235"/>
      <c r="O2" s="235"/>
      <c r="P2" s="235"/>
      <c r="Q2" s="235"/>
    </row>
    <row r="3" spans="1:17" s="232" customFormat="1">
      <c r="A3" s="236" t="s">
        <v>6</v>
      </c>
      <c r="C3" s="56"/>
      <c r="D3" s="56"/>
      <c r="E3" s="56"/>
      <c r="F3" s="237"/>
      <c r="G3" s="56"/>
      <c r="H3" s="56"/>
      <c r="I3" s="56"/>
      <c r="J3" s="56"/>
      <c r="K3" s="235"/>
      <c r="L3" s="235"/>
      <c r="M3" s="235"/>
      <c r="N3" s="235"/>
      <c r="O3" s="235"/>
      <c r="P3" s="235"/>
      <c r="Q3" s="235"/>
    </row>
    <row r="5" spans="1:17">
      <c r="E5" s="198">
        <v>2022</v>
      </c>
      <c r="F5" s="220">
        <v>2021</v>
      </c>
    </row>
    <row r="6" spans="1:17">
      <c r="A6" s="185">
        <v>4</v>
      </c>
      <c r="B6" s="183" t="s">
        <v>194</v>
      </c>
      <c r="C6" s="183"/>
      <c r="D6" s="183"/>
      <c r="E6" s="238"/>
    </row>
    <row r="7" spans="1:17">
      <c r="B7" s="185" t="s">
        <v>195</v>
      </c>
      <c r="E7" s="238">
        <v>0</v>
      </c>
      <c r="F7" s="193">
        <v>0</v>
      </c>
    </row>
    <row r="8" spans="1:17">
      <c r="E8" s="238"/>
    </row>
    <row r="9" spans="1:17">
      <c r="B9" s="183" t="s">
        <v>311</v>
      </c>
      <c r="E9" s="238"/>
    </row>
    <row r="10" spans="1:17">
      <c r="B10" s="185" t="s">
        <v>312</v>
      </c>
      <c r="E10" s="192">
        <v>52797.1</v>
      </c>
      <c r="F10" s="193">
        <v>70028.02</v>
      </c>
    </row>
    <row r="11" spans="1:17">
      <c r="B11" s="185" t="s">
        <v>313</v>
      </c>
      <c r="E11" s="192">
        <v>18260.54</v>
      </c>
      <c r="F11" s="193">
        <v>716307.66</v>
      </c>
    </row>
    <row r="12" spans="1:17">
      <c r="B12" s="185" t="s">
        <v>314</v>
      </c>
      <c r="E12" s="192">
        <v>237918.14</v>
      </c>
      <c r="F12" s="193">
        <v>274229.34000000003</v>
      </c>
    </row>
    <row r="13" spans="1:17">
      <c r="B13" s="185" t="s">
        <v>315</v>
      </c>
      <c r="E13" s="192">
        <v>0</v>
      </c>
    </row>
    <row r="14" spans="1:17">
      <c r="B14" s="185" t="s">
        <v>316</v>
      </c>
      <c r="E14" s="192">
        <v>94479.95</v>
      </c>
      <c r="F14" s="193">
        <v>0</v>
      </c>
    </row>
    <row r="15" spans="1:17">
      <c r="B15" s="185" t="s">
        <v>317</v>
      </c>
      <c r="E15" s="192">
        <v>639.47</v>
      </c>
      <c r="F15" s="193">
        <v>9700</v>
      </c>
    </row>
    <row r="16" spans="1:17">
      <c r="B16" s="185" t="s">
        <v>318</v>
      </c>
      <c r="E16" s="192">
        <v>128.63999999999999</v>
      </c>
      <c r="F16" s="193">
        <v>11745.11</v>
      </c>
    </row>
    <row r="17" spans="1:8">
      <c r="B17" s="185" t="s">
        <v>319</v>
      </c>
      <c r="E17" s="192">
        <v>3716.59</v>
      </c>
      <c r="F17" s="185"/>
      <c r="G17" s="238"/>
      <c r="H17" s="193"/>
    </row>
    <row r="18" spans="1:8">
      <c r="B18" s="185" t="s">
        <v>320</v>
      </c>
      <c r="E18" s="192">
        <v>5321.57</v>
      </c>
      <c r="F18" s="185"/>
      <c r="G18" s="238"/>
      <c r="H18" s="193"/>
    </row>
    <row r="19" spans="1:8">
      <c r="B19" s="185" t="s">
        <v>321</v>
      </c>
      <c r="E19" s="192">
        <v>1435627.38</v>
      </c>
      <c r="F19" s="185"/>
      <c r="G19" s="238"/>
      <c r="H19" s="193"/>
    </row>
    <row r="20" spans="1:8">
      <c r="B20" s="185" t="s">
        <v>322</v>
      </c>
      <c r="E20" s="192">
        <v>4143.76</v>
      </c>
      <c r="F20" s="185"/>
      <c r="G20" s="238"/>
      <c r="H20" s="193"/>
    </row>
    <row r="21" spans="1:8" ht="18.5">
      <c r="E21" s="195"/>
    </row>
    <row r="22" spans="1:8" ht="16" thickBot="1">
      <c r="E22" s="239">
        <f>SUM(E10:E21)</f>
        <v>1853033.14</v>
      </c>
      <c r="F22" s="240">
        <v>1082010.1300000001</v>
      </c>
    </row>
    <row r="23" spans="1:8" ht="16" thickTop="1">
      <c r="E23" s="238"/>
    </row>
    <row r="24" spans="1:8">
      <c r="A24" s="185">
        <v>5</v>
      </c>
      <c r="B24" s="183" t="s">
        <v>323</v>
      </c>
      <c r="C24" s="183"/>
      <c r="D24" s="183"/>
      <c r="E24" s="238"/>
    </row>
    <row r="25" spans="1:8">
      <c r="B25" s="185" t="s">
        <v>324</v>
      </c>
      <c r="E25" s="192">
        <v>0</v>
      </c>
      <c r="F25" s="193">
        <v>0</v>
      </c>
    </row>
    <row r="26" spans="1:8" ht="18.5">
      <c r="B26" s="185" t="s">
        <v>325</v>
      </c>
      <c r="E26" s="195">
        <v>14095583.604955994</v>
      </c>
      <c r="F26" s="196">
        <v>7107389.3099999996</v>
      </c>
    </row>
    <row r="27" spans="1:8" ht="18.5">
      <c r="E27" s="241"/>
      <c r="F27" s="196"/>
    </row>
    <row r="28" spans="1:8" ht="18.5">
      <c r="E28" s="241"/>
    </row>
    <row r="29" spans="1:8">
      <c r="A29" s="185">
        <v>6</v>
      </c>
      <c r="B29" s="183" t="s">
        <v>326</v>
      </c>
      <c r="C29" s="183"/>
      <c r="D29" s="183"/>
      <c r="E29" s="238"/>
    </row>
    <row r="30" spans="1:8" ht="18.5">
      <c r="B30" s="185" t="s">
        <v>327</v>
      </c>
      <c r="C30" s="183"/>
      <c r="D30" s="183"/>
      <c r="E30" s="195">
        <f>20315108.11+254002+245</f>
        <v>20569355.109999999</v>
      </c>
      <c r="F30" s="224">
        <v>5666570.7499999963</v>
      </c>
      <c r="G30" s="202"/>
    </row>
    <row r="31" spans="1:8">
      <c r="B31" s="183"/>
      <c r="C31" s="183"/>
      <c r="D31" s="183"/>
      <c r="E31" s="238"/>
    </row>
    <row r="32" spans="1:8">
      <c r="B32" s="183"/>
      <c r="C32" s="183"/>
      <c r="D32" s="183"/>
      <c r="E32" s="238"/>
    </row>
    <row r="33" spans="1:8">
      <c r="A33" s="185">
        <v>7</v>
      </c>
      <c r="B33" s="183" t="s">
        <v>328</v>
      </c>
      <c r="E33" s="238"/>
    </row>
    <row r="34" spans="1:8">
      <c r="B34" s="185" t="s">
        <v>329</v>
      </c>
      <c r="E34" s="238">
        <v>0</v>
      </c>
      <c r="F34" s="193">
        <v>0</v>
      </c>
    </row>
    <row r="35" spans="1:8" s="242" customFormat="1">
      <c r="B35" s="242" t="s">
        <v>330</v>
      </c>
      <c r="E35" s="243">
        <v>15000</v>
      </c>
      <c r="F35" s="244">
        <v>14000</v>
      </c>
    </row>
    <row r="36" spans="1:8">
      <c r="B36" s="185" t="s">
        <v>331</v>
      </c>
      <c r="E36" s="238">
        <f>149853.14+5000</f>
        <v>154853.14000000001</v>
      </c>
      <c r="F36" s="193">
        <v>75843.09</v>
      </c>
    </row>
    <row r="37" spans="1:8">
      <c r="B37" s="185" t="s">
        <v>332</v>
      </c>
      <c r="E37" s="238">
        <v>456155.82</v>
      </c>
      <c r="F37" s="193">
        <v>6351.84</v>
      </c>
    </row>
    <row r="38" spans="1:8">
      <c r="B38" s="185" t="s">
        <v>333</v>
      </c>
      <c r="E38" s="238">
        <v>0</v>
      </c>
      <c r="F38" s="193">
        <v>22766.68</v>
      </c>
    </row>
    <row r="39" spans="1:8">
      <c r="B39" s="185" t="s">
        <v>334</v>
      </c>
      <c r="E39" s="238">
        <v>-578098.82999999996</v>
      </c>
      <c r="F39" s="193">
        <v>-101303.27</v>
      </c>
    </row>
    <row r="40" spans="1:8">
      <c r="B40" s="185" t="s">
        <v>335</v>
      </c>
      <c r="E40" s="192">
        <v>5307.6</v>
      </c>
      <c r="F40" s="185"/>
      <c r="G40" s="194"/>
      <c r="H40" s="193"/>
    </row>
    <row r="41" spans="1:8">
      <c r="B41" s="185" t="s">
        <v>336</v>
      </c>
      <c r="E41" s="192">
        <v>1965.78</v>
      </c>
      <c r="F41" s="185"/>
      <c r="G41" s="194"/>
      <c r="H41" s="193"/>
    </row>
    <row r="42" spans="1:8">
      <c r="B42" s="185" t="s">
        <v>337</v>
      </c>
      <c r="E42" s="192">
        <v>5678.57</v>
      </c>
      <c r="F42" s="185"/>
      <c r="G42" s="194"/>
      <c r="H42" s="193"/>
    </row>
    <row r="43" spans="1:8" ht="18.5">
      <c r="B43" s="185" t="s">
        <v>338</v>
      </c>
      <c r="E43" s="195">
        <v>182520</v>
      </c>
      <c r="F43" s="185"/>
      <c r="G43" s="194"/>
      <c r="H43" s="193"/>
    </row>
    <row r="44" spans="1:8" ht="18.5">
      <c r="E44" s="241">
        <f>SUM(E34:E43)</f>
        <v>243382.08000000002</v>
      </c>
      <c r="F44" s="196">
        <v>17658.339999999982</v>
      </c>
    </row>
    <row r="45" spans="1:8">
      <c r="B45" s="183"/>
      <c r="C45" s="183"/>
      <c r="D45" s="183"/>
      <c r="E45" s="238"/>
    </row>
    <row r="46" spans="1:8">
      <c r="A46" s="185">
        <v>8</v>
      </c>
      <c r="B46" s="183" t="s">
        <v>339</v>
      </c>
      <c r="C46" s="183"/>
      <c r="D46" s="183"/>
      <c r="E46" s="238"/>
    </row>
    <row r="47" spans="1:8">
      <c r="B47" s="185" t="s">
        <v>340</v>
      </c>
      <c r="E47" s="192">
        <v>55858.57</v>
      </c>
      <c r="F47" s="193">
        <v>27174.5</v>
      </c>
    </row>
    <row r="48" spans="1:8">
      <c r="B48" s="185" t="s">
        <v>341</v>
      </c>
      <c r="E48" s="192">
        <v>15475</v>
      </c>
      <c r="F48" s="193">
        <v>0</v>
      </c>
    </row>
    <row r="49" spans="1:8">
      <c r="B49" s="185" t="s">
        <v>342</v>
      </c>
      <c r="E49" s="192">
        <v>16475.400000000001</v>
      </c>
      <c r="F49" s="193">
        <v>9659.76</v>
      </c>
    </row>
    <row r="50" spans="1:8">
      <c r="B50" s="185" t="s">
        <v>343</v>
      </c>
      <c r="E50" s="192">
        <v>23977.45</v>
      </c>
      <c r="F50" s="193">
        <v>21513.8</v>
      </c>
    </row>
    <row r="51" spans="1:8" ht="18.5">
      <c r="B51" s="185" t="s">
        <v>344</v>
      </c>
      <c r="E51" s="195">
        <v>38664.69</v>
      </c>
      <c r="F51" s="196">
        <v>5611.68</v>
      </c>
    </row>
    <row r="52" spans="1:8" ht="18.5">
      <c r="E52" s="241">
        <f>SUM(E47:E51)</f>
        <v>150451.10999999999</v>
      </c>
      <c r="F52" s="196">
        <v>63959.74</v>
      </c>
    </row>
    <row r="53" spans="1:8">
      <c r="E53" s="238"/>
    </row>
    <row r="54" spans="1:8">
      <c r="A54" s="185">
        <v>9</v>
      </c>
      <c r="B54" s="183" t="s">
        <v>345</v>
      </c>
      <c r="C54" s="183"/>
      <c r="D54" s="183"/>
      <c r="E54" s="245"/>
    </row>
    <row r="55" spans="1:8">
      <c r="B55" s="183"/>
      <c r="C55" s="183"/>
      <c r="D55" s="183"/>
      <c r="E55" s="245"/>
    </row>
    <row r="56" spans="1:8">
      <c r="B56" s="185" t="s">
        <v>346</v>
      </c>
      <c r="C56" s="183"/>
      <c r="D56" s="183"/>
      <c r="E56" s="192">
        <v>0</v>
      </c>
      <c r="F56" s="193">
        <v>126972.72</v>
      </c>
    </row>
    <row r="57" spans="1:8">
      <c r="B57" s="185" t="s">
        <v>347</v>
      </c>
      <c r="E57" s="192">
        <v>3500</v>
      </c>
      <c r="F57" s="193">
        <v>380124.76</v>
      </c>
    </row>
    <row r="58" spans="1:8">
      <c r="B58" s="185" t="s">
        <v>348</v>
      </c>
      <c r="E58" s="192">
        <v>128800.78</v>
      </c>
      <c r="F58" s="185"/>
      <c r="G58" s="238"/>
      <c r="H58" s="193"/>
    </row>
    <row r="59" spans="1:8" ht="18.5">
      <c r="B59" s="185" t="s">
        <v>349</v>
      </c>
      <c r="E59" s="195">
        <v>97283.33</v>
      </c>
      <c r="F59" s="196">
        <v>65945.679999999993</v>
      </c>
    </row>
    <row r="60" spans="1:8" ht="17">
      <c r="E60" s="217">
        <f>SUM(E56:E59)</f>
        <v>229584.11</v>
      </c>
      <c r="F60" s="246">
        <v>573043.15999999992</v>
      </c>
    </row>
    <row r="61" spans="1:8">
      <c r="E61" s="238"/>
    </row>
    <row r="62" spans="1:8">
      <c r="C62" s="188"/>
      <c r="D62" s="188"/>
      <c r="E62" s="247"/>
    </row>
    <row r="63" spans="1:8">
      <c r="E63" s="238"/>
    </row>
    <row r="65" spans="3:3">
      <c r="C65" s="188">
        <v>15</v>
      </c>
    </row>
  </sheetData>
  <pageMargins left="0.7" right="0.7" top="0.75" bottom="0.75" header="0.3" footer="0.3"/>
  <pageSetup scale="95"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11C51-BD1A-4DFE-9A84-020BADCAB7AC}">
  <dimension ref="A1:Q59"/>
  <sheetViews>
    <sheetView topLeftCell="A43" workbookViewId="0">
      <selection sqref="A1:I1"/>
    </sheetView>
  </sheetViews>
  <sheetFormatPr defaultColWidth="9.1796875" defaultRowHeight="15.5"/>
  <cols>
    <col min="1" max="1" width="9.26953125" style="185" bestFit="1" customWidth="1"/>
    <col min="2" max="2" width="40.453125" style="185" customWidth="1"/>
    <col min="3" max="3" width="8.453125" style="185" customWidth="1"/>
    <col min="4" max="4" width="10.54296875" style="185" customWidth="1"/>
    <col min="5" max="5" width="13.81640625" style="192" customWidth="1"/>
    <col min="6" max="6" width="13.54296875" style="250" bestFit="1" customWidth="1"/>
    <col min="7" max="16384" width="9.1796875" style="185"/>
  </cols>
  <sheetData>
    <row r="1" spans="1:17" s="232" customFormat="1" ht="20">
      <c r="A1" s="192" t="s">
        <v>218</v>
      </c>
      <c r="C1" s="233"/>
      <c r="D1" s="233"/>
      <c r="E1" s="233"/>
      <c r="F1" s="233"/>
      <c r="G1" s="233"/>
      <c r="H1" s="233"/>
      <c r="I1" s="233"/>
      <c r="J1" s="233"/>
      <c r="K1" s="235"/>
      <c r="L1" s="235"/>
      <c r="M1" s="235"/>
      <c r="N1" s="235"/>
      <c r="O1" s="235"/>
      <c r="P1" s="235"/>
      <c r="Q1" s="235"/>
    </row>
    <row r="2" spans="1:17" s="232" customFormat="1">
      <c r="A2" s="236" t="s">
        <v>310</v>
      </c>
      <c r="C2" s="56"/>
      <c r="D2" s="56"/>
      <c r="E2" s="56"/>
      <c r="F2" s="56"/>
      <c r="G2" s="56"/>
      <c r="H2" s="56"/>
      <c r="I2" s="56"/>
      <c r="J2" s="56"/>
      <c r="K2" s="235"/>
      <c r="L2" s="235"/>
      <c r="M2" s="235"/>
      <c r="N2" s="235"/>
      <c r="O2" s="235"/>
      <c r="P2" s="235"/>
      <c r="Q2" s="235"/>
    </row>
    <row r="3" spans="1:17" s="232" customFormat="1">
      <c r="A3" s="236" t="s">
        <v>6</v>
      </c>
      <c r="C3" s="56"/>
      <c r="D3" s="56"/>
      <c r="E3" s="56"/>
      <c r="F3" s="56"/>
      <c r="G3" s="56"/>
      <c r="H3" s="56"/>
      <c r="I3" s="56"/>
      <c r="J3" s="56"/>
      <c r="K3" s="235"/>
      <c r="L3" s="235"/>
      <c r="M3" s="235"/>
      <c r="N3" s="235"/>
      <c r="O3" s="235"/>
      <c r="P3" s="235"/>
      <c r="Q3" s="235"/>
    </row>
    <row r="4" spans="1:17" s="232" customFormat="1">
      <c r="A4" s="236"/>
      <c r="C4" s="56"/>
      <c r="D4" s="56"/>
      <c r="E4" s="56">
        <v>2022</v>
      </c>
      <c r="F4" s="211">
        <v>2021</v>
      </c>
      <c r="G4" s="56"/>
      <c r="H4" s="56"/>
      <c r="I4" s="56"/>
      <c r="J4" s="56"/>
      <c r="K4" s="235"/>
      <c r="L4" s="235"/>
      <c r="M4" s="235"/>
      <c r="N4" s="235"/>
      <c r="O4" s="235"/>
      <c r="P4" s="235"/>
      <c r="Q4" s="235"/>
    </row>
    <row r="5" spans="1:17">
      <c r="A5" s="188"/>
      <c r="B5" s="188"/>
      <c r="C5" s="188"/>
      <c r="D5" s="188"/>
      <c r="E5" s="212" t="s">
        <v>34</v>
      </c>
      <c r="F5" s="213" t="s">
        <v>34</v>
      </c>
    </row>
    <row r="6" spans="1:17">
      <c r="A6" s="188">
        <v>10</v>
      </c>
      <c r="B6" s="248" t="s">
        <v>350</v>
      </c>
      <c r="C6" s="249"/>
      <c r="D6" s="249"/>
      <c r="E6" s="215"/>
    </row>
    <row r="7" spans="1:17">
      <c r="A7" s="188"/>
      <c r="B7" s="251" t="s">
        <v>351</v>
      </c>
      <c r="C7" s="249"/>
      <c r="D7" s="249"/>
      <c r="E7" s="212">
        <v>143827.35999999999</v>
      </c>
      <c r="F7" s="250">
        <v>20114.099999999999</v>
      </c>
    </row>
    <row r="8" spans="1:17">
      <c r="A8" s="188"/>
      <c r="B8" s="251" t="s">
        <v>352</v>
      </c>
      <c r="C8" s="191" t="s">
        <v>353</v>
      </c>
      <c r="D8" s="249"/>
      <c r="E8" s="212">
        <v>150451.10999999999</v>
      </c>
      <c r="F8" s="250">
        <v>63959.74</v>
      </c>
    </row>
    <row r="9" spans="1:17">
      <c r="A9" s="188"/>
      <c r="B9" s="251" t="s">
        <v>354</v>
      </c>
      <c r="C9" s="191"/>
      <c r="D9" s="249"/>
      <c r="E9" s="212">
        <v>0</v>
      </c>
      <c r="F9" s="250">
        <v>0</v>
      </c>
    </row>
    <row r="10" spans="1:17">
      <c r="A10" s="188"/>
      <c r="B10" s="251" t="s">
        <v>355</v>
      </c>
      <c r="C10" s="191"/>
      <c r="D10" s="249"/>
      <c r="E10" s="212">
        <v>35000</v>
      </c>
      <c r="F10" s="250">
        <v>0</v>
      </c>
    </row>
    <row r="11" spans="1:17">
      <c r="A11" s="188"/>
      <c r="B11" s="251" t="s">
        <v>356</v>
      </c>
      <c r="C11" s="191"/>
      <c r="D11" s="249"/>
      <c r="E11" s="212">
        <v>0</v>
      </c>
      <c r="F11" s="250">
        <v>0</v>
      </c>
    </row>
    <row r="12" spans="1:17">
      <c r="A12" s="188"/>
      <c r="B12" s="251" t="s">
        <v>357</v>
      </c>
      <c r="C12" s="188"/>
      <c r="D12" s="188"/>
      <c r="E12" s="212">
        <v>0</v>
      </c>
      <c r="F12" s="250">
        <v>15628.4</v>
      </c>
    </row>
    <row r="13" spans="1:17">
      <c r="A13" s="188"/>
      <c r="B13" s="251" t="s">
        <v>358</v>
      </c>
      <c r="C13" s="188"/>
      <c r="D13" s="188"/>
      <c r="E13" s="212">
        <v>0</v>
      </c>
      <c r="F13" s="250">
        <v>2000</v>
      </c>
    </row>
    <row r="14" spans="1:17">
      <c r="A14" s="188"/>
      <c r="B14" s="251" t="s">
        <v>359</v>
      </c>
      <c r="C14" s="188"/>
      <c r="D14" s="188"/>
      <c r="E14" s="252">
        <v>99500</v>
      </c>
      <c r="F14" s="212">
        <v>0</v>
      </c>
      <c r="G14" s="250">
        <v>0</v>
      </c>
    </row>
    <row r="15" spans="1:17">
      <c r="A15" s="188"/>
      <c r="B15" s="251" t="s">
        <v>360</v>
      </c>
      <c r="C15" s="188"/>
      <c r="D15" s="188"/>
      <c r="E15" s="212">
        <v>119042.29</v>
      </c>
      <c r="F15" s="250">
        <v>48184.99</v>
      </c>
    </row>
    <row r="16" spans="1:17">
      <c r="A16" s="188"/>
      <c r="B16" s="251" t="s">
        <v>361</v>
      </c>
      <c r="C16" s="188"/>
      <c r="D16" s="188"/>
      <c r="E16" s="212">
        <v>109234.59</v>
      </c>
      <c r="F16" s="250">
        <v>86305.2</v>
      </c>
    </row>
    <row r="17" spans="1:6">
      <c r="A17" s="188"/>
      <c r="B17" s="251" t="s">
        <v>362</v>
      </c>
      <c r="C17" s="188"/>
      <c r="D17" s="188"/>
      <c r="E17" s="212">
        <v>398555</v>
      </c>
      <c r="F17" s="250">
        <v>288012.79999999999</v>
      </c>
    </row>
    <row r="18" spans="1:6">
      <c r="A18" s="188"/>
      <c r="B18" s="251" t="s">
        <v>363</v>
      </c>
      <c r="C18" s="188"/>
      <c r="D18" s="188"/>
      <c r="E18" s="212">
        <v>117203.39</v>
      </c>
      <c r="F18" s="250">
        <v>34851.64</v>
      </c>
    </row>
    <row r="19" spans="1:6">
      <c r="A19" s="188"/>
      <c r="B19" s="251" t="s">
        <v>364</v>
      </c>
      <c r="C19" s="188"/>
      <c r="D19" s="188"/>
      <c r="E19" s="212">
        <v>0</v>
      </c>
      <c r="F19" s="250">
        <v>14392.25</v>
      </c>
    </row>
    <row r="20" spans="1:6">
      <c r="A20" s="188"/>
      <c r="B20" s="251" t="s">
        <v>365</v>
      </c>
      <c r="C20" s="188"/>
      <c r="D20" s="188"/>
      <c r="E20" s="212">
        <v>206787.21</v>
      </c>
      <c r="F20" s="250">
        <v>43983</v>
      </c>
    </row>
    <row r="21" spans="1:6">
      <c r="A21" s="188"/>
      <c r="B21" s="251" t="s">
        <v>366</v>
      </c>
      <c r="C21" s="188"/>
      <c r="D21" s="188"/>
      <c r="E21" s="212">
        <v>34550.75</v>
      </c>
      <c r="F21" s="250">
        <v>178235.03</v>
      </c>
    </row>
    <row r="22" spans="1:6">
      <c r="A22" s="188"/>
      <c r="B22" s="251" t="s">
        <v>367</v>
      </c>
      <c r="C22" s="188"/>
      <c r="D22" s="188"/>
      <c r="E22" s="212">
        <v>57029.2</v>
      </c>
      <c r="F22" s="250">
        <v>40565</v>
      </c>
    </row>
    <row r="23" spans="1:6">
      <c r="A23" s="188"/>
      <c r="B23" s="251" t="s">
        <v>215</v>
      </c>
      <c r="C23" s="188"/>
      <c r="D23" s="188"/>
      <c r="E23" s="212">
        <v>217846.48</v>
      </c>
      <c r="F23" s="250">
        <v>14289</v>
      </c>
    </row>
    <row r="24" spans="1:6">
      <c r="A24" s="188"/>
      <c r="B24" s="251" t="s">
        <v>368</v>
      </c>
      <c r="C24" s="188"/>
      <c r="D24" s="188"/>
      <c r="E24" s="212">
        <v>45160.9</v>
      </c>
      <c r="F24" s="250">
        <v>19602</v>
      </c>
    </row>
    <row r="25" spans="1:6">
      <c r="A25" s="188"/>
      <c r="B25" s="251" t="s">
        <v>369</v>
      </c>
      <c r="C25" s="188"/>
      <c r="D25" s="188"/>
      <c r="E25" s="212">
        <v>24600</v>
      </c>
      <c r="F25" s="250">
        <v>400</v>
      </c>
    </row>
    <row r="26" spans="1:6">
      <c r="A26" s="188"/>
      <c r="B26" s="251" t="s">
        <v>370</v>
      </c>
      <c r="C26" s="188"/>
      <c r="D26" s="188"/>
      <c r="E26" s="212">
        <v>299732.67</v>
      </c>
      <c r="F26" s="250">
        <v>88139.79</v>
      </c>
    </row>
    <row r="27" spans="1:6">
      <c r="A27" s="188"/>
      <c r="B27" s="251" t="s">
        <v>216</v>
      </c>
      <c r="C27" s="188"/>
      <c r="D27" s="188"/>
      <c r="E27" s="212">
        <v>52365.51</v>
      </c>
      <c r="F27" s="250">
        <v>11026</v>
      </c>
    </row>
    <row r="28" spans="1:6">
      <c r="A28" s="188"/>
      <c r="B28" s="251" t="s">
        <v>371</v>
      </c>
      <c r="C28" s="188"/>
      <c r="D28" s="188"/>
      <c r="E28" s="212">
        <v>31510</v>
      </c>
      <c r="F28" s="250">
        <v>41692.25</v>
      </c>
    </row>
    <row r="29" spans="1:6">
      <c r="A29" s="188"/>
      <c r="B29" s="251" t="s">
        <v>372</v>
      </c>
      <c r="C29" s="188"/>
      <c r="D29" s="188"/>
      <c r="E29" s="212">
        <v>11450</v>
      </c>
      <c r="F29" s="250">
        <v>35612.46</v>
      </c>
    </row>
    <row r="30" spans="1:6">
      <c r="A30" s="188"/>
      <c r="B30" s="251" t="s">
        <v>373</v>
      </c>
      <c r="C30" s="188"/>
      <c r="D30" s="188"/>
      <c r="E30" s="212">
        <v>136153.70000000001</v>
      </c>
      <c r="F30" s="250">
        <v>64162.57</v>
      </c>
    </row>
    <row r="31" spans="1:6">
      <c r="A31" s="188"/>
      <c r="B31" s="251" t="s">
        <v>374</v>
      </c>
      <c r="C31" s="191" t="s">
        <v>375</v>
      </c>
      <c r="D31" s="188"/>
      <c r="E31" s="212">
        <v>229584.11</v>
      </c>
      <c r="F31" s="250">
        <v>573043.15999999992</v>
      </c>
    </row>
    <row r="32" spans="1:6">
      <c r="A32" s="188"/>
      <c r="B32" s="251" t="s">
        <v>376</v>
      </c>
      <c r="C32" s="191" t="s">
        <v>377</v>
      </c>
      <c r="D32" s="188"/>
      <c r="E32" s="212">
        <v>834156.6</v>
      </c>
      <c r="F32" s="250">
        <v>548569.46</v>
      </c>
    </row>
    <row r="33" spans="1:6" s="206" customFormat="1">
      <c r="A33" s="253"/>
      <c r="B33" s="254" t="s">
        <v>141</v>
      </c>
      <c r="C33" s="255"/>
      <c r="D33" s="255"/>
      <c r="E33" s="256">
        <v>996336.70759999985</v>
      </c>
      <c r="F33" s="250">
        <v>215480.53999999998</v>
      </c>
    </row>
    <row r="34" spans="1:6" s="242" customFormat="1">
      <c r="A34" s="255"/>
      <c r="B34" s="254" t="s">
        <v>378</v>
      </c>
      <c r="C34" s="255"/>
      <c r="D34" s="255"/>
      <c r="E34" s="256">
        <v>31000</v>
      </c>
      <c r="F34" s="250">
        <v>83437.5</v>
      </c>
    </row>
    <row r="35" spans="1:6" s="206" customFormat="1">
      <c r="A35" s="253"/>
      <c r="B35" s="254" t="s">
        <v>330</v>
      </c>
      <c r="C35" s="255"/>
      <c r="D35" s="255"/>
      <c r="E35" s="256">
        <v>15000</v>
      </c>
      <c r="F35" s="250">
        <v>14000</v>
      </c>
    </row>
    <row r="36" spans="1:6" ht="18.5">
      <c r="A36" s="188"/>
      <c r="B36" s="251" t="s">
        <v>379</v>
      </c>
      <c r="C36" s="188"/>
      <c r="D36" s="188"/>
      <c r="E36" s="257">
        <v>46022</v>
      </c>
      <c r="F36" s="258">
        <v>33302.400000000001</v>
      </c>
    </row>
    <row r="37" spans="1:6" ht="18.5">
      <c r="A37" s="188"/>
      <c r="B37" s="251"/>
      <c r="C37" s="188"/>
      <c r="D37" s="188"/>
      <c r="E37" s="257">
        <f>SUM(E7:E36)</f>
        <v>4442099.5775999995</v>
      </c>
      <c r="F37" s="259">
        <v>2578989.2799999998</v>
      </c>
    </row>
    <row r="38" spans="1:6" ht="18.5">
      <c r="A38" s="188"/>
      <c r="B38" s="251"/>
      <c r="C38" s="188"/>
      <c r="D38" s="188"/>
      <c r="E38" s="257"/>
    </row>
    <row r="39" spans="1:6">
      <c r="A39" s="188">
        <v>11</v>
      </c>
      <c r="B39" s="248" t="s">
        <v>380</v>
      </c>
      <c r="C39" s="188"/>
      <c r="D39" s="188"/>
      <c r="E39" s="212"/>
    </row>
    <row r="40" spans="1:6">
      <c r="A40" s="188"/>
      <c r="B40" s="251" t="s">
        <v>381</v>
      </c>
      <c r="C40" s="188"/>
      <c r="D40" s="188"/>
      <c r="E40" s="212">
        <v>139311.6</v>
      </c>
      <c r="F40" s="250">
        <v>8473.2999999999993</v>
      </c>
    </row>
    <row r="41" spans="1:6">
      <c r="A41" s="188"/>
      <c r="B41" s="251" t="s">
        <v>382</v>
      </c>
      <c r="C41" s="188"/>
      <c r="D41" s="188"/>
      <c r="E41" s="212">
        <v>105567.64</v>
      </c>
      <c r="F41" s="250">
        <v>84546.61</v>
      </c>
    </row>
    <row r="42" spans="1:6" ht="18.5">
      <c r="A42" s="188"/>
      <c r="B42" s="251" t="s">
        <v>383</v>
      </c>
      <c r="C42" s="188"/>
      <c r="D42" s="188"/>
      <c r="E42" s="257">
        <v>589277.36</v>
      </c>
      <c r="F42" s="250">
        <v>455549.55</v>
      </c>
    </row>
    <row r="43" spans="1:6" ht="18.5">
      <c r="A43" s="188"/>
      <c r="B43" s="251"/>
      <c r="C43" s="188"/>
      <c r="D43" s="188"/>
      <c r="E43" s="257">
        <f>SUM(E40:E42)</f>
        <v>834156.6</v>
      </c>
      <c r="F43" s="260">
        <v>548569.46</v>
      </c>
    </row>
    <row r="44" spans="1:6">
      <c r="A44" s="188"/>
      <c r="B44" s="251"/>
      <c r="C44" s="188"/>
      <c r="D44" s="188"/>
      <c r="E44" s="212"/>
    </row>
    <row r="45" spans="1:6" ht="18.5">
      <c r="A45" s="188"/>
      <c r="B45" s="251"/>
      <c r="C45" s="188"/>
      <c r="D45" s="261"/>
      <c r="E45" s="257"/>
      <c r="F45" s="258"/>
    </row>
    <row r="46" spans="1:6">
      <c r="A46" s="188"/>
      <c r="B46" s="251"/>
      <c r="C46" s="188"/>
      <c r="D46" s="188"/>
      <c r="E46" s="262"/>
      <c r="F46" s="263"/>
    </row>
    <row r="47" spans="1:6">
      <c r="A47" s="188"/>
      <c r="B47" s="251"/>
      <c r="C47" s="188"/>
      <c r="D47" s="188"/>
      <c r="E47" s="262"/>
      <c r="F47" s="264"/>
    </row>
    <row r="48" spans="1:6">
      <c r="A48" s="188"/>
      <c r="B48" s="251"/>
      <c r="C48" s="188"/>
      <c r="D48" s="188"/>
      <c r="E48" s="212"/>
    </row>
    <row r="49" spans="1:6">
      <c r="A49" s="188">
        <v>13</v>
      </c>
      <c r="B49" s="248" t="s">
        <v>384</v>
      </c>
      <c r="C49" s="188"/>
      <c r="D49" s="188"/>
      <c r="E49" s="212"/>
    </row>
    <row r="50" spans="1:6" ht="17.5" thickBot="1">
      <c r="A50" s="188"/>
      <c r="B50" s="251" t="s">
        <v>385</v>
      </c>
      <c r="C50" s="188"/>
      <c r="D50" s="188"/>
      <c r="E50" s="217">
        <v>0</v>
      </c>
      <c r="F50" s="265">
        <v>167716.51999999999</v>
      </c>
    </row>
    <row r="51" spans="1:6" ht="16" thickTop="1">
      <c r="A51" s="188"/>
      <c r="B51" s="251"/>
      <c r="C51" s="188"/>
      <c r="D51" s="188"/>
      <c r="E51" s="212"/>
    </row>
    <row r="52" spans="1:6">
      <c r="A52" s="188"/>
      <c r="B52" s="251"/>
      <c r="C52" s="188"/>
      <c r="D52" s="188"/>
      <c r="E52" s="212"/>
    </row>
    <row r="53" spans="1:6">
      <c r="A53" s="188"/>
      <c r="B53" s="188"/>
      <c r="C53" s="188"/>
      <c r="D53" s="188"/>
      <c r="E53" s="212"/>
    </row>
    <row r="54" spans="1:6">
      <c r="A54" s="188"/>
      <c r="B54" s="188"/>
      <c r="C54" s="188">
        <v>16</v>
      </c>
      <c r="D54" s="188"/>
      <c r="E54" s="212"/>
    </row>
    <row r="55" spans="1:6">
      <c r="A55" s="188"/>
      <c r="B55" s="188"/>
      <c r="C55" s="188"/>
      <c r="D55" s="188"/>
      <c r="E55" s="212"/>
    </row>
    <row r="56" spans="1:6">
      <c r="A56" s="188"/>
      <c r="B56" s="188"/>
      <c r="C56" s="188"/>
      <c r="D56" s="188"/>
      <c r="E56" s="212"/>
    </row>
    <row r="57" spans="1:6">
      <c r="A57" s="188"/>
      <c r="B57" s="188"/>
      <c r="C57" s="188"/>
      <c r="D57" s="188"/>
      <c r="E57" s="212"/>
    </row>
    <row r="58" spans="1:6">
      <c r="A58" s="188"/>
      <c r="B58" s="188"/>
      <c r="C58" s="188"/>
      <c r="D58" s="188"/>
      <c r="E58" s="212"/>
    </row>
    <row r="59" spans="1:6">
      <c r="A59" s="188"/>
      <c r="B59" s="188"/>
      <c r="C59" s="188"/>
      <c r="D59" s="188"/>
      <c r="E59" s="212"/>
    </row>
  </sheetData>
  <pageMargins left="0.7" right="0.7" top="0.75" bottom="0.75" header="0.3" footer="0.3"/>
  <pageSetup scale="95"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EEBB-371B-4A1E-AD93-07F02CC158CC}">
  <dimension ref="A1:Q54"/>
  <sheetViews>
    <sheetView topLeftCell="A4" workbookViewId="0">
      <selection sqref="A1:I1"/>
    </sheetView>
  </sheetViews>
  <sheetFormatPr defaultColWidth="9.1796875" defaultRowHeight="15.5"/>
  <cols>
    <col min="1" max="1" width="9.1796875" style="185"/>
    <col min="2" max="2" width="28.453125" style="185" customWidth="1"/>
    <col min="3" max="3" width="11.26953125" style="185" customWidth="1"/>
    <col min="4" max="4" width="11.453125" style="185" customWidth="1"/>
    <col min="5" max="5" width="16.81640625" style="192" customWidth="1"/>
    <col min="6" max="6" width="15.7265625" style="193" customWidth="1"/>
    <col min="7" max="7" width="12.1796875" style="185" customWidth="1"/>
    <col min="8" max="16384" width="9.1796875" style="185"/>
  </cols>
  <sheetData>
    <row r="1" spans="1:17" s="232" customFormat="1">
      <c r="A1" s="192" t="s">
        <v>218</v>
      </c>
      <c r="C1" s="56"/>
      <c r="D1" s="56"/>
      <c r="E1" s="237"/>
      <c r="F1" s="266"/>
      <c r="G1" s="56"/>
      <c r="H1" s="56"/>
      <c r="I1" s="56"/>
      <c r="J1" s="56"/>
      <c r="K1" s="235"/>
      <c r="L1" s="235"/>
      <c r="M1" s="235"/>
      <c r="N1" s="235"/>
      <c r="O1" s="235"/>
      <c r="P1" s="235"/>
      <c r="Q1" s="235"/>
    </row>
    <row r="2" spans="1:17" s="232" customFormat="1">
      <c r="A2" s="236" t="s">
        <v>310</v>
      </c>
      <c r="C2" s="56"/>
      <c r="D2" s="56"/>
      <c r="E2" s="237"/>
      <c r="F2" s="266"/>
      <c r="G2" s="56"/>
      <c r="H2" s="56"/>
      <c r="I2" s="56"/>
      <c r="J2" s="56"/>
      <c r="K2" s="235"/>
      <c r="L2" s="235"/>
      <c r="M2" s="235"/>
      <c r="N2" s="235"/>
      <c r="O2" s="235"/>
      <c r="P2" s="235"/>
      <c r="Q2" s="235"/>
    </row>
    <row r="3" spans="1:17" s="232" customFormat="1">
      <c r="A3" s="236" t="s">
        <v>6</v>
      </c>
      <c r="C3" s="56"/>
      <c r="D3" s="56"/>
      <c r="E3" s="237"/>
      <c r="F3" s="266"/>
      <c r="G3" s="56"/>
      <c r="H3" s="56"/>
      <c r="I3" s="56"/>
      <c r="J3" s="56"/>
      <c r="K3" s="235"/>
      <c r="L3" s="235"/>
      <c r="M3" s="235"/>
      <c r="N3" s="235"/>
      <c r="O3" s="235"/>
      <c r="P3" s="235"/>
      <c r="Q3" s="235"/>
    </row>
    <row r="4" spans="1:17" s="232" customFormat="1">
      <c r="A4" s="236"/>
      <c r="C4" s="56"/>
      <c r="D4" s="56"/>
      <c r="E4" s="267">
        <v>2022</v>
      </c>
      <c r="F4" s="211">
        <v>2021</v>
      </c>
      <c r="G4" s="56"/>
      <c r="H4" s="56"/>
      <c r="I4" s="56"/>
      <c r="J4" s="56"/>
      <c r="K4" s="235"/>
      <c r="L4" s="235"/>
      <c r="M4" s="235"/>
      <c r="N4" s="235"/>
      <c r="O4" s="235"/>
      <c r="P4" s="235"/>
      <c r="Q4" s="235"/>
    </row>
    <row r="5" spans="1:17" s="232" customFormat="1">
      <c r="A5" s="236"/>
      <c r="C5" s="56"/>
      <c r="D5" s="56"/>
      <c r="E5" s="268" t="str">
        <f>F5</f>
        <v>GH¢</v>
      </c>
      <c r="F5" s="269" t="s">
        <v>34</v>
      </c>
      <c r="G5" s="56"/>
      <c r="H5" s="56"/>
      <c r="I5" s="56"/>
      <c r="J5" s="56"/>
      <c r="K5" s="235"/>
      <c r="L5" s="235"/>
      <c r="M5" s="235"/>
      <c r="N5" s="235"/>
      <c r="O5" s="235"/>
      <c r="P5" s="235"/>
      <c r="Q5" s="235"/>
    </row>
    <row r="6" spans="1:17">
      <c r="A6" s="185">
        <v>14</v>
      </c>
      <c r="B6" s="183" t="s">
        <v>386</v>
      </c>
    </row>
    <row r="7" spans="1:17">
      <c r="B7" s="185" t="s">
        <v>387</v>
      </c>
      <c r="E7" s="192">
        <v>901063</v>
      </c>
      <c r="F7" s="193">
        <v>668981</v>
      </c>
    </row>
    <row r="8" spans="1:17">
      <c r="B8" s="185" t="s">
        <v>388</v>
      </c>
      <c r="E8" s="192">
        <v>0</v>
      </c>
      <c r="F8" s="193">
        <v>0</v>
      </c>
    </row>
    <row r="9" spans="1:17">
      <c r="B9" s="185" t="s">
        <v>389</v>
      </c>
      <c r="E9" s="192">
        <v>0</v>
      </c>
      <c r="F9" s="193">
        <v>0</v>
      </c>
    </row>
    <row r="10" spans="1:17">
      <c r="B10" s="185" t="s">
        <v>390</v>
      </c>
      <c r="E10" s="192">
        <v>41420864.390000001</v>
      </c>
      <c r="F10" s="193">
        <v>14268032.049999999</v>
      </c>
    </row>
    <row r="11" spans="1:17">
      <c r="B11" s="185" t="s">
        <v>391</v>
      </c>
      <c r="E11" s="192">
        <v>84640.2</v>
      </c>
      <c r="F11" s="193">
        <v>24590.39</v>
      </c>
    </row>
    <row r="12" spans="1:17">
      <c r="B12" s="185" t="s">
        <v>392</v>
      </c>
      <c r="E12" s="192">
        <v>0</v>
      </c>
    </row>
    <row r="13" spans="1:17" ht="16.5" customHeight="1">
      <c r="B13" s="185" t="s">
        <v>393</v>
      </c>
      <c r="E13" s="192">
        <v>1851.2</v>
      </c>
      <c r="F13" s="193">
        <v>17135.52</v>
      </c>
    </row>
    <row r="14" spans="1:17">
      <c r="B14" s="185" t="s">
        <v>394</v>
      </c>
      <c r="E14" s="192">
        <v>0</v>
      </c>
      <c r="F14" s="193">
        <v>0</v>
      </c>
    </row>
    <row r="15" spans="1:17">
      <c r="B15" s="185" t="s">
        <v>395</v>
      </c>
      <c r="E15" s="192">
        <v>0</v>
      </c>
      <c r="F15" s="193">
        <v>2980</v>
      </c>
    </row>
    <row r="16" spans="1:17">
      <c r="B16" s="185" t="s">
        <v>396</v>
      </c>
      <c r="E16" s="192">
        <v>348079.79</v>
      </c>
      <c r="F16" s="193">
        <v>297256.03999999998</v>
      </c>
    </row>
    <row r="17" spans="1:7">
      <c r="B17" s="185" t="s">
        <v>397</v>
      </c>
      <c r="E17" s="192">
        <v>0</v>
      </c>
      <c r="F17" s="193">
        <v>0</v>
      </c>
    </row>
    <row r="18" spans="1:7">
      <c r="B18" s="185" t="s">
        <v>398</v>
      </c>
      <c r="E18" s="192">
        <v>38792</v>
      </c>
      <c r="F18" s="193">
        <v>45740.85</v>
      </c>
    </row>
    <row r="19" spans="1:7">
      <c r="B19" s="185" t="s">
        <v>399</v>
      </c>
      <c r="E19" s="270">
        <v>929.63</v>
      </c>
      <c r="F19" s="193">
        <v>7495</v>
      </c>
    </row>
    <row r="20" spans="1:7">
      <c r="B20" s="185" t="s">
        <v>400</v>
      </c>
      <c r="E20" s="192">
        <v>1060</v>
      </c>
      <c r="F20" s="193">
        <v>0</v>
      </c>
    </row>
    <row r="21" spans="1:7" ht="18.5">
      <c r="B21" s="185" t="s">
        <v>401</v>
      </c>
      <c r="E21" s="195">
        <v>1049.4000000000001</v>
      </c>
      <c r="F21" s="196">
        <v>19415</v>
      </c>
    </row>
    <row r="22" spans="1:7">
      <c r="E22" s="192">
        <f>SUM(E7:E21)</f>
        <v>42798329.610000007</v>
      </c>
      <c r="F22" s="193">
        <v>15351625.849999998</v>
      </c>
    </row>
    <row r="24" spans="1:7" ht="18.5">
      <c r="B24" s="185" t="s">
        <v>402</v>
      </c>
      <c r="E24" s="195">
        <v>7087177.8600000003</v>
      </c>
      <c r="F24" s="196">
        <v>901062.92</v>
      </c>
    </row>
    <row r="25" spans="1:7" ht="17">
      <c r="E25" s="199">
        <f>SUM(E22-E24)</f>
        <v>35711151.750000007</v>
      </c>
      <c r="F25" s="200">
        <v>14450562.929999998</v>
      </c>
    </row>
    <row r="30" spans="1:7">
      <c r="A30" s="185">
        <v>15</v>
      </c>
      <c r="B30" s="183" t="s">
        <v>403</v>
      </c>
      <c r="C30" s="183"/>
      <c r="D30" s="183"/>
      <c r="G30" s="198"/>
    </row>
    <row r="31" spans="1:7">
      <c r="B31" s="185" t="s">
        <v>404</v>
      </c>
      <c r="C31" s="198"/>
      <c r="D31" s="198"/>
      <c r="E31" s="192">
        <v>16753527.949999999</v>
      </c>
      <c r="F31" s="193">
        <v>13860996.08</v>
      </c>
      <c r="G31" s="198"/>
    </row>
    <row r="32" spans="1:7" ht="18.5">
      <c r="B32" s="185" t="s">
        <v>224</v>
      </c>
      <c r="C32" s="186"/>
      <c r="D32" s="186"/>
      <c r="E32" s="271">
        <v>30043630.039999999</v>
      </c>
      <c r="F32" s="272">
        <v>4710938.24</v>
      </c>
      <c r="G32" s="186"/>
    </row>
    <row r="33" spans="1:8">
      <c r="B33" s="198"/>
      <c r="C33" s="186"/>
      <c r="D33" s="186">
        <f>E31/E33</f>
        <v>0.35800310680362324</v>
      </c>
      <c r="E33" s="262">
        <f>SUM(E31+E32)</f>
        <v>46797157.989999995</v>
      </c>
      <c r="F33" s="272">
        <v>18571934.32</v>
      </c>
      <c r="G33" s="186"/>
    </row>
    <row r="34" spans="1:8" ht="18.5">
      <c r="B34" s="185" t="s">
        <v>405</v>
      </c>
      <c r="C34" s="198"/>
      <c r="D34" s="198">
        <f>D33-1</f>
        <v>-0.64199689319637676</v>
      </c>
      <c r="E34" s="271"/>
      <c r="F34" s="272">
        <v>-137539.85999999999</v>
      </c>
      <c r="G34" s="198"/>
    </row>
    <row r="35" spans="1:8" ht="18.5">
      <c r="C35" s="273"/>
      <c r="D35" s="273"/>
      <c r="E35" s="274">
        <f>SUM(E33:E34)</f>
        <v>46797157.989999995</v>
      </c>
      <c r="F35" s="204">
        <v>18434394.460000001</v>
      </c>
      <c r="G35" s="273"/>
      <c r="H35" s="273"/>
    </row>
    <row r="36" spans="1:8">
      <c r="C36" s="273"/>
      <c r="D36" s="273"/>
      <c r="E36" s="275"/>
      <c r="F36" s="205"/>
      <c r="G36" s="273"/>
    </row>
    <row r="37" spans="1:8">
      <c r="A37" s="185">
        <v>16</v>
      </c>
      <c r="B37" s="183" t="s">
        <v>264</v>
      </c>
      <c r="C37" s="273"/>
      <c r="D37" s="273"/>
      <c r="E37" s="275"/>
      <c r="F37" s="205"/>
      <c r="G37" s="273"/>
    </row>
    <row r="38" spans="1:8">
      <c r="B38" s="185" t="s">
        <v>406</v>
      </c>
      <c r="C38" s="273"/>
      <c r="D38" s="273"/>
      <c r="E38" s="275">
        <v>-36311.199999999997</v>
      </c>
      <c r="F38" s="205">
        <v>114791.12</v>
      </c>
      <c r="G38" s="273"/>
    </row>
    <row r="39" spans="1:8" ht="18.5">
      <c r="B39" s="185" t="s">
        <v>407</v>
      </c>
      <c r="C39" s="273"/>
      <c r="D39" s="273"/>
      <c r="E39" s="274">
        <v>2296381.46</v>
      </c>
      <c r="F39" s="204">
        <v>72309.56</v>
      </c>
      <c r="G39" s="273"/>
    </row>
    <row r="40" spans="1:8" ht="18.5">
      <c r="C40" s="273"/>
      <c r="D40" s="273"/>
      <c r="E40" s="274">
        <f>SUM(E38:E39)</f>
        <v>2260070.2599999998</v>
      </c>
      <c r="F40" s="204">
        <v>187100.68</v>
      </c>
      <c r="G40" s="273"/>
    </row>
    <row r="41" spans="1:8">
      <c r="A41" s="198"/>
      <c r="B41" s="198"/>
      <c r="C41" s="276"/>
      <c r="D41" s="276"/>
      <c r="E41" s="275"/>
      <c r="F41" s="205"/>
      <c r="G41" s="276"/>
      <c r="H41" s="198"/>
    </row>
    <row r="42" spans="1:8">
      <c r="A42" s="185">
        <v>17</v>
      </c>
      <c r="B42" s="183" t="s">
        <v>408</v>
      </c>
      <c r="E42" s="275"/>
      <c r="F42" s="205"/>
    </row>
    <row r="43" spans="1:8">
      <c r="B43" s="185" t="s">
        <v>409</v>
      </c>
      <c r="E43" s="275">
        <v>39544815.310000002</v>
      </c>
      <c r="F43" s="205">
        <v>13178122.189999999</v>
      </c>
    </row>
    <row r="44" spans="1:8">
      <c r="B44" s="185" t="s">
        <v>410</v>
      </c>
      <c r="E44" s="192">
        <v>1083726.25</v>
      </c>
      <c r="F44" s="193">
        <v>250137.71</v>
      </c>
    </row>
    <row r="45" spans="1:8">
      <c r="B45" s="185" t="s">
        <v>411</v>
      </c>
      <c r="E45" s="192">
        <v>464779.97</v>
      </c>
      <c r="F45" s="193">
        <v>435856.77</v>
      </c>
    </row>
    <row r="46" spans="1:8">
      <c r="B46" s="185" t="s">
        <v>412</v>
      </c>
      <c r="E46" s="192">
        <v>0</v>
      </c>
      <c r="F46" s="193">
        <v>109932.11</v>
      </c>
    </row>
    <row r="47" spans="1:8">
      <c r="B47" s="185" t="s">
        <v>413</v>
      </c>
      <c r="E47" s="192">
        <v>0</v>
      </c>
      <c r="F47" s="193">
        <v>16237.26</v>
      </c>
    </row>
    <row r="48" spans="1:8" ht="18.5">
      <c r="B48" s="185" t="s">
        <v>414</v>
      </c>
      <c r="E48" s="195">
        <v>327542.86</v>
      </c>
      <c r="F48" s="193">
        <v>277746.01</v>
      </c>
    </row>
    <row r="49" spans="3:6" ht="18.5">
      <c r="E49" s="195">
        <f>SUM(E43:E48)</f>
        <v>41420864.390000001</v>
      </c>
      <c r="F49" s="193">
        <v>14268032.049999999</v>
      </c>
    </row>
    <row r="51" spans="3:6">
      <c r="C51" s="188"/>
    </row>
    <row r="53" spans="3:6">
      <c r="C53" s="185">
        <v>17</v>
      </c>
    </row>
    <row r="54" spans="3:6">
      <c r="D54" s="188"/>
    </row>
  </sheetData>
  <pageMargins left="0.7" right="0.7" top="0.75" bottom="0.75" header="0.3" footer="0.3"/>
  <pageSetup scale="85"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D52E5-19EB-4850-AEDA-CC22C275AA60}">
  <dimension ref="A1:T81"/>
  <sheetViews>
    <sheetView topLeftCell="A9" workbookViewId="0">
      <selection sqref="A1:I1"/>
    </sheetView>
  </sheetViews>
  <sheetFormatPr defaultColWidth="9.1796875" defaultRowHeight="15.5"/>
  <cols>
    <col min="1" max="1" width="4.81640625" style="185" customWidth="1"/>
    <col min="2" max="2" width="23.26953125" style="185" customWidth="1"/>
    <col min="3" max="3" width="0.7265625" style="185" customWidth="1"/>
    <col min="4" max="4" width="13" style="205" customWidth="1"/>
    <col min="5" max="5" width="1.1796875" style="205" customWidth="1"/>
    <col min="6" max="6" width="12.7265625" style="205" customWidth="1"/>
    <col min="7" max="7" width="0.7265625" style="205" customWidth="1"/>
    <col min="8" max="8" width="10.54296875" style="205" customWidth="1"/>
    <col min="9" max="9" width="0.7265625" style="205" customWidth="1"/>
    <col min="10" max="10" width="12.26953125" style="205" customWidth="1"/>
    <col min="11" max="11" width="0.54296875" style="205" customWidth="1"/>
    <col min="12" max="12" width="10.1796875" style="205" customWidth="1"/>
    <col min="13" max="13" width="0.7265625" style="205" customWidth="1"/>
    <col min="14" max="14" width="12.1796875" style="205" customWidth="1"/>
    <col min="15" max="15" width="0.7265625" style="205" customWidth="1"/>
    <col min="16" max="16" width="16.453125" style="205" customWidth="1"/>
    <col min="17" max="17" width="0.453125" style="205" customWidth="1"/>
    <col min="18" max="18" width="13.453125" style="205" customWidth="1"/>
    <col min="19" max="19" width="0.54296875" style="205" customWidth="1"/>
    <col min="20" max="20" width="13.7265625" style="205" customWidth="1"/>
    <col min="21" max="16384" width="9.1796875" style="185"/>
  </cols>
  <sheetData>
    <row r="1" spans="1:20" s="232" customFormat="1">
      <c r="A1" s="192" t="s">
        <v>218</v>
      </c>
      <c r="C1" s="56"/>
      <c r="D1" s="56"/>
      <c r="E1" s="237"/>
      <c r="F1" s="266"/>
      <c r="G1" s="56"/>
      <c r="H1" s="56"/>
      <c r="I1" s="56"/>
      <c r="J1" s="56"/>
      <c r="K1" s="235"/>
      <c r="L1" s="235"/>
      <c r="M1" s="235"/>
      <c r="N1" s="235"/>
      <c r="O1" s="235"/>
      <c r="P1" s="235"/>
      <c r="Q1" s="235"/>
    </row>
    <row r="2" spans="1:20" s="232" customFormat="1">
      <c r="A2" s="236" t="s">
        <v>310</v>
      </c>
      <c r="C2" s="56"/>
      <c r="D2" s="56"/>
      <c r="E2" s="237"/>
      <c r="F2" s="266"/>
      <c r="G2" s="56"/>
      <c r="H2" s="56"/>
      <c r="I2" s="56"/>
      <c r="J2" s="56"/>
      <c r="K2" s="235"/>
      <c r="L2" s="235"/>
      <c r="M2" s="235"/>
      <c r="N2" s="235"/>
      <c r="O2" s="235"/>
      <c r="P2" s="235"/>
      <c r="Q2" s="235"/>
    </row>
    <row r="3" spans="1:20" s="232" customFormat="1">
      <c r="A3" s="236" t="s">
        <v>6</v>
      </c>
      <c r="C3" s="56"/>
      <c r="D3" s="56"/>
      <c r="E3" s="237"/>
      <c r="F3" s="266"/>
      <c r="G3" s="56"/>
      <c r="H3" s="56"/>
      <c r="I3" s="56"/>
      <c r="J3" s="56"/>
      <c r="K3" s="235"/>
      <c r="L3" s="235"/>
      <c r="M3" s="235"/>
      <c r="N3" s="235"/>
      <c r="O3" s="235"/>
      <c r="P3" s="235"/>
      <c r="Q3" s="235"/>
    </row>
    <row r="6" spans="1:20" s="198" customFormat="1">
      <c r="A6" s="198">
        <v>16</v>
      </c>
      <c r="B6" s="183" t="s">
        <v>415</v>
      </c>
      <c r="C6" s="183"/>
      <c r="D6" s="275"/>
      <c r="E6" s="275"/>
      <c r="F6" s="275"/>
      <c r="G6" s="275"/>
      <c r="H6" s="275"/>
      <c r="I6" s="275"/>
      <c r="J6" s="275"/>
      <c r="K6" s="275"/>
      <c r="L6" s="275"/>
      <c r="M6" s="275"/>
      <c r="N6" s="275"/>
      <c r="O6" s="275"/>
      <c r="P6" s="275"/>
      <c r="Q6" s="275"/>
      <c r="R6" s="275"/>
      <c r="S6" s="275"/>
      <c r="T6" s="275"/>
    </row>
    <row r="9" spans="1:20" s="277" customFormat="1" ht="46.5">
      <c r="D9" s="278" t="s">
        <v>416</v>
      </c>
      <c r="E9" s="278"/>
      <c r="F9" s="278" t="s">
        <v>417</v>
      </c>
      <c r="G9" s="278"/>
      <c r="H9" s="278" t="s">
        <v>418</v>
      </c>
      <c r="I9" s="278"/>
      <c r="J9" s="278" t="s">
        <v>185</v>
      </c>
      <c r="K9" s="278"/>
      <c r="L9" s="278" t="s">
        <v>419</v>
      </c>
      <c r="M9" s="278"/>
      <c r="N9" s="278" t="s">
        <v>420</v>
      </c>
      <c r="O9" s="278"/>
      <c r="P9" s="278" t="s">
        <v>421</v>
      </c>
      <c r="Q9" s="278"/>
      <c r="R9" s="278" t="s">
        <v>422</v>
      </c>
      <c r="S9" s="278"/>
      <c r="T9" s="278" t="s">
        <v>275</v>
      </c>
    </row>
    <row r="10" spans="1:20">
      <c r="B10" s="242" t="s">
        <v>182</v>
      </c>
      <c r="D10" s="205">
        <v>236403</v>
      </c>
      <c r="F10" s="205">
        <v>7300</v>
      </c>
      <c r="H10" s="205">
        <v>621552</v>
      </c>
      <c r="J10" s="205">
        <v>124687</v>
      </c>
      <c r="L10" s="205">
        <v>170000</v>
      </c>
      <c r="N10" s="205">
        <v>416769.59</v>
      </c>
      <c r="P10" s="205">
        <v>30300</v>
      </c>
      <c r="R10" s="205">
        <v>1466715</v>
      </c>
      <c r="T10" s="275">
        <f>SUM(D10:S10)</f>
        <v>3073726.59</v>
      </c>
    </row>
    <row r="11" spans="1:20" ht="3.75" customHeight="1">
      <c r="B11" s="242"/>
      <c r="T11" s="275"/>
    </row>
    <row r="12" spans="1:20">
      <c r="B12" s="242" t="s">
        <v>423</v>
      </c>
      <c r="D12" s="272">
        <v>78431</v>
      </c>
      <c r="F12" s="205">
        <v>33290</v>
      </c>
      <c r="H12" s="205">
        <v>337254</v>
      </c>
      <c r="J12" s="205">
        <v>20978</v>
      </c>
      <c r="L12" s="205">
        <v>0</v>
      </c>
      <c r="N12" s="205">
        <v>2045294</v>
      </c>
      <c r="P12" s="205">
        <v>162740</v>
      </c>
      <c r="R12" s="205">
        <v>16585049.119999999</v>
      </c>
      <c r="T12" s="275">
        <f>SUM(D12:S12)</f>
        <v>19263036.119999997</v>
      </c>
    </row>
    <row r="13" spans="1:20" ht="5.25" customHeight="1">
      <c r="B13" s="242"/>
      <c r="D13" s="272"/>
      <c r="T13" s="275"/>
    </row>
    <row r="14" spans="1:20" s="198" customFormat="1" ht="16" thickBot="1">
      <c r="B14" s="236" t="s">
        <v>210</v>
      </c>
      <c r="D14" s="239">
        <f>D10+D12</f>
        <v>314834</v>
      </c>
      <c r="E14" s="239">
        <f t="shared" ref="E14:R14" si="0">E10+E12</f>
        <v>0</v>
      </c>
      <c r="F14" s="239">
        <f t="shared" si="0"/>
        <v>40590</v>
      </c>
      <c r="G14" s="239">
        <f t="shared" si="0"/>
        <v>0</v>
      </c>
      <c r="H14" s="239">
        <f t="shared" si="0"/>
        <v>958806</v>
      </c>
      <c r="I14" s="239">
        <f t="shared" si="0"/>
        <v>0</v>
      </c>
      <c r="J14" s="239">
        <f t="shared" si="0"/>
        <v>145665</v>
      </c>
      <c r="K14" s="239">
        <f t="shared" si="0"/>
        <v>0</v>
      </c>
      <c r="L14" s="239">
        <f t="shared" si="0"/>
        <v>170000</v>
      </c>
      <c r="M14" s="239">
        <f t="shared" si="0"/>
        <v>0</v>
      </c>
      <c r="N14" s="239">
        <f t="shared" si="0"/>
        <v>2462063.59</v>
      </c>
      <c r="O14" s="239">
        <f t="shared" si="0"/>
        <v>0</v>
      </c>
      <c r="P14" s="239">
        <f t="shared" si="0"/>
        <v>193040</v>
      </c>
      <c r="Q14" s="239">
        <f t="shared" si="0"/>
        <v>0</v>
      </c>
      <c r="R14" s="239">
        <f t="shared" si="0"/>
        <v>18051764.119999997</v>
      </c>
      <c r="S14" s="275"/>
      <c r="T14" s="239">
        <f>SUM(D14:S14)</f>
        <v>22336762.709999997</v>
      </c>
    </row>
    <row r="15" spans="1:20" ht="3" customHeight="1" thickTop="1">
      <c r="B15" s="242"/>
      <c r="T15" s="275"/>
    </row>
    <row r="16" spans="1:20">
      <c r="B16" s="242"/>
      <c r="T16" s="275"/>
    </row>
    <row r="17" spans="2:20">
      <c r="B17" s="242" t="s">
        <v>141</v>
      </c>
      <c r="T17" s="275"/>
    </row>
    <row r="18" spans="2:20" ht="3" customHeight="1">
      <c r="B18" s="242"/>
      <c r="T18" s="275"/>
    </row>
    <row r="19" spans="2:20">
      <c r="B19" s="242" t="s">
        <v>208</v>
      </c>
      <c r="D19" s="205">
        <v>64077.3</v>
      </c>
      <c r="F19" s="205">
        <v>3868.5</v>
      </c>
      <c r="H19" s="205">
        <v>494772.8</v>
      </c>
      <c r="J19" s="205">
        <v>29051.53</v>
      </c>
      <c r="L19" s="205">
        <v>0</v>
      </c>
      <c r="N19" s="205">
        <v>207560.95999999999</v>
      </c>
      <c r="P19" s="205">
        <v>20670</v>
      </c>
      <c r="R19" s="205">
        <v>192891.45</v>
      </c>
      <c r="T19" s="275">
        <f>SUM(D19:S19)</f>
        <v>1012892.54</v>
      </c>
    </row>
    <row r="20" spans="2:20" ht="3" customHeight="1">
      <c r="B20" s="242"/>
      <c r="T20" s="275"/>
    </row>
    <row r="21" spans="2:20">
      <c r="B21" s="242" t="s">
        <v>161</v>
      </c>
      <c r="D21" s="205">
        <f>D14*10%</f>
        <v>31483.4</v>
      </c>
      <c r="F21" s="205">
        <f>F14*7.5%</f>
        <v>3044.25</v>
      </c>
      <c r="H21" s="205">
        <f>H14*15%</f>
        <v>143820.9</v>
      </c>
      <c r="J21" s="205">
        <f>J14*7.5%</f>
        <v>10924.875</v>
      </c>
      <c r="L21" s="205">
        <v>0</v>
      </c>
      <c r="N21" s="205">
        <f>N14*10%</f>
        <v>246206.359</v>
      </c>
      <c r="P21" s="205">
        <f>P14*10%</f>
        <v>19304</v>
      </c>
      <c r="R21" s="205">
        <f>R14*3%</f>
        <v>541552.92359999986</v>
      </c>
      <c r="T21" s="275">
        <f>SUM(D21:S21)</f>
        <v>996336.70759999985</v>
      </c>
    </row>
    <row r="22" spans="2:20" ht="3.75" customHeight="1">
      <c r="B22" s="242"/>
      <c r="T22" s="275"/>
    </row>
    <row r="23" spans="2:20" s="198" customFormat="1" ht="16" thickBot="1">
      <c r="B23" s="236" t="s">
        <v>210</v>
      </c>
      <c r="D23" s="239">
        <f>SUM(D19:D22)</f>
        <v>95560.700000000012</v>
      </c>
      <c r="E23" s="239">
        <f t="shared" ref="E23:R23" si="1">SUM(E19:E22)</f>
        <v>0</v>
      </c>
      <c r="F23" s="239">
        <f t="shared" si="1"/>
        <v>6912.75</v>
      </c>
      <c r="G23" s="239">
        <f t="shared" si="1"/>
        <v>0</v>
      </c>
      <c r="H23" s="239">
        <f t="shared" si="1"/>
        <v>638593.69999999995</v>
      </c>
      <c r="I23" s="239">
        <f t="shared" si="1"/>
        <v>0</v>
      </c>
      <c r="J23" s="239">
        <f t="shared" si="1"/>
        <v>39976.404999999999</v>
      </c>
      <c r="K23" s="239">
        <f t="shared" si="1"/>
        <v>0</v>
      </c>
      <c r="L23" s="239">
        <f t="shared" si="1"/>
        <v>0</v>
      </c>
      <c r="M23" s="239">
        <f t="shared" si="1"/>
        <v>0</v>
      </c>
      <c r="N23" s="239">
        <f t="shared" si="1"/>
        <v>453767.31900000002</v>
      </c>
      <c r="O23" s="239">
        <f t="shared" si="1"/>
        <v>0</v>
      </c>
      <c r="P23" s="239">
        <f t="shared" si="1"/>
        <v>39974</v>
      </c>
      <c r="Q23" s="239">
        <f t="shared" si="1"/>
        <v>0</v>
      </c>
      <c r="R23" s="239">
        <f t="shared" si="1"/>
        <v>734444.37359999982</v>
      </c>
      <c r="S23" s="275"/>
      <c r="T23" s="239">
        <f>SUM(D23:S23)</f>
        <v>2009229.2475999997</v>
      </c>
    </row>
    <row r="24" spans="2:20" ht="5.25" customHeight="1" thickTop="1">
      <c r="B24" s="236"/>
      <c r="T24" s="275"/>
    </row>
    <row r="25" spans="2:20">
      <c r="B25" s="236"/>
      <c r="T25" s="275"/>
    </row>
    <row r="26" spans="2:20">
      <c r="B26" s="236" t="s">
        <v>424</v>
      </c>
      <c r="T26" s="275"/>
    </row>
    <row r="27" spans="2:20" ht="4.5" customHeight="1">
      <c r="B27" s="236"/>
      <c r="T27" s="275"/>
    </row>
    <row r="28" spans="2:20" s="198" customFormat="1" ht="16" thickBot="1">
      <c r="B28" s="236" t="s">
        <v>425</v>
      </c>
      <c r="D28" s="239">
        <f>D14-D23</f>
        <v>219273.3</v>
      </c>
      <c r="E28" s="239">
        <f t="shared" ref="E28:R28" si="2">E14-E23</f>
        <v>0</v>
      </c>
      <c r="F28" s="239">
        <f t="shared" si="2"/>
        <v>33677.25</v>
      </c>
      <c r="G28" s="239">
        <f t="shared" si="2"/>
        <v>0</v>
      </c>
      <c r="H28" s="239">
        <f t="shared" si="2"/>
        <v>320212.30000000005</v>
      </c>
      <c r="I28" s="239">
        <f t="shared" si="2"/>
        <v>0</v>
      </c>
      <c r="J28" s="239">
        <f t="shared" si="2"/>
        <v>105688.595</v>
      </c>
      <c r="K28" s="239">
        <f t="shared" si="2"/>
        <v>0</v>
      </c>
      <c r="L28" s="239">
        <f t="shared" si="2"/>
        <v>170000</v>
      </c>
      <c r="M28" s="239">
        <f t="shared" si="2"/>
        <v>0</v>
      </c>
      <c r="N28" s="239">
        <f t="shared" si="2"/>
        <v>2008296.2709999997</v>
      </c>
      <c r="O28" s="239">
        <f t="shared" si="2"/>
        <v>0</v>
      </c>
      <c r="P28" s="239">
        <f t="shared" si="2"/>
        <v>153066</v>
      </c>
      <c r="Q28" s="239">
        <f t="shared" si="2"/>
        <v>0</v>
      </c>
      <c r="R28" s="239">
        <f t="shared" si="2"/>
        <v>17317319.746399999</v>
      </c>
      <c r="S28" s="275"/>
      <c r="T28" s="239">
        <f>SUM(D28:S28)</f>
        <v>20327533.462399997</v>
      </c>
    </row>
    <row r="29" spans="2:20" ht="16" thickTop="1"/>
    <row r="30" spans="2:20">
      <c r="B30" s="236" t="s">
        <v>424</v>
      </c>
    </row>
    <row r="31" spans="2:20" s="198" customFormat="1">
      <c r="B31" s="236" t="s">
        <v>426</v>
      </c>
      <c r="D31" s="275">
        <v>172325.7</v>
      </c>
      <c r="E31" s="275"/>
      <c r="F31" s="275">
        <v>3431.5</v>
      </c>
      <c r="G31" s="275"/>
      <c r="H31" s="275">
        <v>126779.2</v>
      </c>
      <c r="I31" s="275"/>
      <c r="J31" s="275">
        <v>95635.48</v>
      </c>
      <c r="K31" s="275"/>
      <c r="L31" s="275">
        <v>170000</v>
      </c>
      <c r="M31" s="275"/>
      <c r="N31" s="275">
        <v>209208.63</v>
      </c>
      <c r="O31" s="275"/>
      <c r="P31" s="275">
        <v>9630</v>
      </c>
      <c r="Q31" s="275"/>
      <c r="R31" s="275">
        <v>1273823.55</v>
      </c>
      <c r="S31" s="275"/>
      <c r="T31" s="275">
        <v>2060834.06</v>
      </c>
    </row>
    <row r="38" spans="3:12">
      <c r="J38" s="279"/>
      <c r="K38" s="279"/>
      <c r="L38" s="279"/>
    </row>
    <row r="41" spans="3:12">
      <c r="C41" s="188">
        <v>18</v>
      </c>
    </row>
    <row r="58" spans="3:8">
      <c r="C58" s="273"/>
    </row>
    <row r="59" spans="3:8">
      <c r="C59" s="273"/>
    </row>
    <row r="60" spans="3:8" ht="18.5">
      <c r="H60" s="204"/>
    </row>
    <row r="68" spans="4:4">
      <c r="D68" s="272"/>
    </row>
    <row r="81" spans="3:3">
      <c r="C81" s="188">
        <v>19</v>
      </c>
    </row>
  </sheetData>
  <pageMargins left="0.7" right="0.7" top="0.75" bottom="0.75" header="0.3" footer="0.3"/>
  <pageSetup scale="75"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34C27-5704-4ED7-9AC4-A88DE561FB57}">
  <sheetPr>
    <tabColor rgb="FFFFFF00"/>
  </sheetPr>
  <dimension ref="A1:Q66"/>
  <sheetViews>
    <sheetView topLeftCell="A25" workbookViewId="0">
      <selection activeCell="F42" sqref="F42"/>
    </sheetView>
  </sheetViews>
  <sheetFormatPr defaultColWidth="9.1796875" defaultRowHeight="15.5"/>
  <cols>
    <col min="1" max="1" width="4.26953125" style="185" customWidth="1"/>
    <col min="2" max="2" width="20.81640625" style="185" customWidth="1"/>
    <col min="3" max="4" width="11.81640625" style="185" bestFit="1" customWidth="1"/>
    <col min="5" max="5" width="14.54296875" style="193" bestFit="1" customWidth="1"/>
    <col min="6" max="6" width="13.54296875" style="185" bestFit="1" customWidth="1"/>
    <col min="7" max="7" width="15.7265625" style="198" bestFit="1" customWidth="1"/>
    <col min="8" max="16384" width="9.1796875" style="185"/>
  </cols>
  <sheetData>
    <row r="1" spans="1:17" s="232" customFormat="1">
      <c r="A1" s="192" t="s">
        <v>218</v>
      </c>
      <c r="C1" s="56"/>
      <c r="D1" s="56"/>
      <c r="E1" s="237"/>
      <c r="F1" s="266"/>
      <c r="G1" s="56"/>
      <c r="H1" s="56"/>
      <c r="I1" s="56"/>
      <c r="J1" s="56"/>
      <c r="K1" s="235"/>
      <c r="L1" s="235"/>
      <c r="M1" s="235"/>
      <c r="N1" s="235"/>
      <c r="O1" s="235"/>
      <c r="P1" s="235"/>
      <c r="Q1" s="235"/>
    </row>
    <row r="2" spans="1:17" s="232" customFormat="1">
      <c r="A2" s="236" t="s">
        <v>310</v>
      </c>
      <c r="C2" s="56"/>
      <c r="D2" s="56"/>
      <c r="E2" s="237"/>
      <c r="F2" s="266"/>
      <c r="G2" s="56"/>
      <c r="H2" s="56"/>
      <c r="I2" s="56"/>
      <c r="J2" s="56"/>
      <c r="K2" s="235"/>
      <c r="L2" s="235"/>
      <c r="M2" s="235"/>
      <c r="N2" s="235"/>
      <c r="O2" s="235"/>
      <c r="P2" s="235"/>
      <c r="Q2" s="235"/>
    </row>
    <row r="3" spans="1:17" s="232" customFormat="1">
      <c r="A3" s="236" t="s">
        <v>6</v>
      </c>
      <c r="C3" s="56"/>
      <c r="D3" s="56"/>
      <c r="E3" s="237"/>
      <c r="F3" s="266"/>
      <c r="G3" s="56"/>
      <c r="H3" s="56"/>
      <c r="I3" s="56"/>
      <c r="J3" s="56"/>
      <c r="K3" s="235"/>
      <c r="L3" s="235"/>
      <c r="M3" s="235"/>
      <c r="N3" s="235"/>
      <c r="O3" s="235"/>
      <c r="P3" s="235"/>
      <c r="Q3" s="235"/>
    </row>
    <row r="4" spans="1:17">
      <c r="A4" s="183"/>
      <c r="B4" s="183"/>
      <c r="C4" s="183"/>
      <c r="D4" s="183"/>
      <c r="E4" s="209"/>
      <c r="F4" s="183"/>
      <c r="G4" s="183"/>
      <c r="H4" s="183"/>
    </row>
    <row r="5" spans="1:17">
      <c r="B5" s="183" t="s">
        <v>427</v>
      </c>
      <c r="C5" s="183"/>
    </row>
    <row r="7" spans="1:17">
      <c r="C7" s="186" t="s">
        <v>428</v>
      </c>
      <c r="D7" s="186" t="s">
        <v>429</v>
      </c>
      <c r="E7" s="212" t="s">
        <v>430</v>
      </c>
      <c r="F7" s="186" t="s">
        <v>431</v>
      </c>
      <c r="G7" s="186" t="s">
        <v>432</v>
      </c>
      <c r="H7" s="186"/>
      <c r="I7" s="183"/>
      <c r="J7" s="183"/>
    </row>
    <row r="8" spans="1:17">
      <c r="C8" s="186" t="s">
        <v>433</v>
      </c>
      <c r="D8" s="186" t="s">
        <v>433</v>
      </c>
      <c r="E8" s="212" t="s">
        <v>433</v>
      </c>
      <c r="F8" s="186" t="s">
        <v>433</v>
      </c>
      <c r="G8" s="186"/>
      <c r="H8" s="186"/>
    </row>
    <row r="9" spans="1:17">
      <c r="C9" s="280">
        <v>0.4</v>
      </c>
      <c r="D9" s="280">
        <v>0.3</v>
      </c>
      <c r="E9" s="281">
        <v>0.2</v>
      </c>
      <c r="F9" s="280">
        <v>0.1</v>
      </c>
      <c r="G9" s="280"/>
      <c r="H9" s="282"/>
    </row>
    <row r="11" spans="1:17">
      <c r="B11" s="185" t="s">
        <v>434</v>
      </c>
      <c r="C11" s="193">
        <v>19311</v>
      </c>
      <c r="D11" s="193">
        <v>138761.4</v>
      </c>
      <c r="E11" s="193">
        <v>368128.47</v>
      </c>
      <c r="F11" s="193">
        <v>913425.3</v>
      </c>
      <c r="G11" s="193">
        <f>SUM(C11:F11)</f>
        <v>1439626.17</v>
      </c>
      <c r="H11" s="194"/>
      <c r="I11" s="186"/>
    </row>
    <row r="12" spans="1:17" ht="3" customHeight="1">
      <c r="C12" s="193"/>
      <c r="D12" s="193"/>
      <c r="F12" s="193"/>
      <c r="G12" s="193">
        <f>SUM(C12:F12)</f>
        <v>0</v>
      </c>
      <c r="H12" s="194"/>
      <c r="I12" s="186"/>
    </row>
    <row r="13" spans="1:17" ht="18.5">
      <c r="B13" s="185" t="s">
        <v>435</v>
      </c>
      <c r="C13" s="193">
        <v>78431</v>
      </c>
      <c r="D13" s="193">
        <v>337254</v>
      </c>
      <c r="E13" s="193">
        <v>2262302</v>
      </c>
      <c r="F13" s="193">
        <v>16585049.119999999</v>
      </c>
      <c r="G13" s="193">
        <f>SUM(C13:F13)</f>
        <v>19263036.119999997</v>
      </c>
      <c r="H13" s="197"/>
    </row>
    <row r="14" spans="1:17" ht="4.5" customHeight="1">
      <c r="C14" s="283"/>
      <c r="D14" s="283"/>
      <c r="E14" s="283"/>
      <c r="F14" s="283"/>
      <c r="G14" s="284">
        <f>SUM(C14:F14)</f>
        <v>0</v>
      </c>
      <c r="H14" s="194"/>
      <c r="I14" s="194"/>
    </row>
    <row r="15" spans="1:17" s="198" customFormat="1" ht="16" thickBot="1">
      <c r="B15" s="232" t="s">
        <v>436</v>
      </c>
      <c r="C15" s="285">
        <f>SUM(C11:C14)</f>
        <v>97742</v>
      </c>
      <c r="D15" s="285">
        <f>SUM(D11:D14)</f>
        <v>476015.4</v>
      </c>
      <c r="E15" s="285">
        <f>SUM(E11:E14)</f>
        <v>2630430.4699999997</v>
      </c>
      <c r="F15" s="285">
        <f>SUM(F11:F14)</f>
        <v>17498474.419999998</v>
      </c>
      <c r="G15" s="285">
        <f>SUM(C15:F15)</f>
        <v>20702662.289999999</v>
      </c>
      <c r="H15" s="238"/>
      <c r="I15" s="238"/>
    </row>
    <row r="16" spans="1:17" ht="16" thickTop="1">
      <c r="B16" s="232"/>
      <c r="C16" s="205"/>
      <c r="D16" s="205"/>
      <c r="E16" s="205"/>
      <c r="F16" s="205"/>
      <c r="G16" s="275"/>
      <c r="H16" s="194"/>
      <c r="I16" s="194"/>
    </row>
    <row r="17" spans="1:9" ht="6" customHeight="1">
      <c r="C17" s="193"/>
      <c r="D17" s="193"/>
      <c r="F17" s="193"/>
      <c r="G17" s="192"/>
      <c r="H17" s="194"/>
      <c r="I17" s="194"/>
    </row>
    <row r="18" spans="1:9" s="198" customFormat="1" ht="19" thickBot="1">
      <c r="B18" s="232" t="s">
        <v>437</v>
      </c>
      <c r="C18" s="239">
        <f>C15*0.4</f>
        <v>39096.800000000003</v>
      </c>
      <c r="D18" s="239">
        <f>D15*0.3</f>
        <v>142804.62</v>
      </c>
      <c r="E18" s="239">
        <f>E15*0.2</f>
        <v>526086.09399999992</v>
      </c>
      <c r="F18" s="239">
        <f>F15*0.1</f>
        <v>1749847.4419999998</v>
      </c>
      <c r="G18" s="239">
        <f>SUM(C18:F18)</f>
        <v>2457834.9559999998</v>
      </c>
      <c r="H18" s="241"/>
      <c r="I18" s="238"/>
    </row>
    <row r="19" spans="1:9" s="198" customFormat="1" ht="7.5" customHeight="1" thickTop="1">
      <c r="B19" s="185"/>
      <c r="C19" s="192"/>
      <c r="D19" s="192"/>
      <c r="E19" s="192"/>
      <c r="F19" s="192"/>
      <c r="G19" s="192"/>
    </row>
    <row r="20" spans="1:9" s="198" customFormat="1" ht="16" thickBot="1">
      <c r="B20" s="232" t="s">
        <v>438</v>
      </c>
      <c r="C20" s="286">
        <f>C15-C18</f>
        <v>58645.2</v>
      </c>
      <c r="D20" s="286">
        <f>D15-D18</f>
        <v>333210.78000000003</v>
      </c>
      <c r="E20" s="285">
        <f>E15-E18</f>
        <v>2104344.3759999997</v>
      </c>
      <c r="F20" s="286">
        <f>F15-F18</f>
        <v>15748626.977999998</v>
      </c>
      <c r="G20" s="286">
        <f>G15-G18</f>
        <v>18244827.333999999</v>
      </c>
    </row>
    <row r="21" spans="1:9" ht="16" thickTop="1">
      <c r="A21" s="183"/>
      <c r="B21" s="183"/>
      <c r="C21" s="198"/>
      <c r="D21" s="198"/>
    </row>
    <row r="22" spans="1:9">
      <c r="C22" s="198"/>
      <c r="D22" s="198"/>
    </row>
    <row r="23" spans="1:9">
      <c r="D23" s="183" t="s">
        <v>439</v>
      </c>
    </row>
    <row r="24" spans="1:9">
      <c r="E24" s="212" t="s">
        <v>34</v>
      </c>
    </row>
    <row r="25" spans="1:9">
      <c r="B25" s="185" t="s">
        <v>440</v>
      </c>
      <c r="E25" s="193">
        <f>SPnL!E27</f>
        <v>8534094.9223999865</v>
      </c>
    </row>
    <row r="27" spans="1:9">
      <c r="B27" s="185" t="s">
        <v>441</v>
      </c>
      <c r="E27" s="224">
        <f>'NOTE 10-13'!E33</f>
        <v>996336.70759999985</v>
      </c>
    </row>
    <row r="28" spans="1:9" ht="3" customHeight="1"/>
    <row r="29" spans="1:9" s="198" customFormat="1">
      <c r="B29" s="198" t="s">
        <v>442</v>
      </c>
      <c r="E29" s="192">
        <f>SUM(E25:E28)</f>
        <v>9530431.6299999859</v>
      </c>
    </row>
    <row r="30" spans="1:9" ht="4.5" customHeight="1"/>
    <row r="31" spans="1:9">
      <c r="B31" s="185" t="s">
        <v>443</v>
      </c>
      <c r="E31" s="193">
        <f>G18</f>
        <v>2457834.9559999998</v>
      </c>
    </row>
    <row r="32" spans="1:9" ht="3" customHeight="1"/>
    <row r="33" spans="2:7">
      <c r="B33" s="185" t="s">
        <v>444</v>
      </c>
      <c r="E33" s="287">
        <f>SUM(E29-E31)</f>
        <v>7072596.6739999857</v>
      </c>
    </row>
    <row r="34" spans="2:7" ht="3.75" customHeight="1"/>
    <row r="35" spans="2:7" s="198" customFormat="1">
      <c r="B35" s="198" t="s">
        <v>445</v>
      </c>
      <c r="E35" s="205">
        <f>(E33*0.64)*0.08</f>
        <v>362116.94970879931</v>
      </c>
    </row>
    <row r="36" spans="2:7" s="198" customFormat="1" ht="3" customHeight="1">
      <c r="E36" s="288"/>
    </row>
    <row r="37" spans="2:7" s="198" customFormat="1" ht="14.25" customHeight="1">
      <c r="B37" s="198" t="s">
        <v>446</v>
      </c>
      <c r="E37" s="205">
        <f>(E33*0.36)*0.25</f>
        <v>636533.70065999869</v>
      </c>
    </row>
    <row r="38" spans="2:7" s="198" customFormat="1" ht="4.5" customHeight="1">
      <c r="E38" s="199"/>
    </row>
    <row r="39" spans="2:7" s="198" customFormat="1" ht="16.5" customHeight="1">
      <c r="B39" s="198" t="s">
        <v>447</v>
      </c>
      <c r="E39" s="199">
        <f>SUM(E35:E38)</f>
        <v>998650.65036879806</v>
      </c>
    </row>
    <row r="40" spans="2:7" s="198" customFormat="1" ht="4.5" customHeight="1">
      <c r="E40" s="199"/>
    </row>
    <row r="41" spans="2:7" s="198" customFormat="1" ht="4.5" customHeight="1">
      <c r="E41" s="199"/>
    </row>
    <row r="42" spans="2:7">
      <c r="B42" s="185" t="s">
        <v>448</v>
      </c>
      <c r="E42" s="193">
        <v>124002</v>
      </c>
      <c r="F42" s="194">
        <f>'SFP (2)'!F16</f>
        <v>137002.09495599929</v>
      </c>
      <c r="G42" s="296">
        <f>F42-E42</f>
        <v>13000.094955999288</v>
      </c>
    </row>
    <row r="43" spans="2:7" ht="3.75" customHeight="1"/>
    <row r="44" spans="2:7" ht="15" customHeight="1">
      <c r="B44" s="185" t="s">
        <v>120</v>
      </c>
      <c r="E44" s="193">
        <v>7000</v>
      </c>
    </row>
    <row r="45" spans="2:7" ht="3.75" customHeight="1"/>
    <row r="46" spans="2:7">
      <c r="B46" s="185" t="s">
        <v>449</v>
      </c>
      <c r="E46" s="213">
        <v>634455.07999999996</v>
      </c>
    </row>
    <row r="47" spans="2:7" ht="3" customHeight="1">
      <c r="E47" s="213"/>
    </row>
    <row r="48" spans="2:7" s="198" customFormat="1" ht="16" thickBot="1">
      <c r="B48" s="198" t="s">
        <v>450</v>
      </c>
      <c r="E48" s="239">
        <f>E39-E42-E44-E46</f>
        <v>233193.5703687981</v>
      </c>
      <c r="F48" s="296">
        <f>F42+E44+E46-E39</f>
        <v>-220193.47541279881</v>
      </c>
    </row>
    <row r="49" spans="2:5" ht="16" thickTop="1"/>
    <row r="51" spans="2:5">
      <c r="B51" s="198"/>
      <c r="E51" s="205"/>
    </row>
    <row r="52" spans="2:5">
      <c r="E52" s="205"/>
    </row>
    <row r="53" spans="2:5">
      <c r="E53" s="205"/>
    </row>
    <row r="54" spans="2:5">
      <c r="E54" s="275"/>
    </row>
    <row r="55" spans="2:5">
      <c r="E55" s="205"/>
    </row>
    <row r="56" spans="2:5">
      <c r="B56" s="198"/>
      <c r="C56" s="198"/>
      <c r="D56" s="198"/>
      <c r="E56" s="275"/>
    </row>
    <row r="66" spans="4:4">
      <c r="D66" s="188">
        <v>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65F4C-53ED-429F-BEC6-E4293B807A48}">
  <dimension ref="A1:I44"/>
  <sheetViews>
    <sheetView zoomScaleNormal="100" workbookViewId="0">
      <selection activeCell="C33" sqref="C33"/>
    </sheetView>
  </sheetViews>
  <sheetFormatPr defaultColWidth="9.1796875" defaultRowHeight="14.5"/>
  <cols>
    <col min="1" max="1" width="9.1796875" style="309"/>
    <col min="2" max="2" width="16.26953125" style="309" customWidth="1"/>
    <col min="3" max="3" width="17" style="309" customWidth="1"/>
    <col min="4" max="4" width="9.1796875" style="309"/>
    <col min="5" max="5" width="14.26953125" style="309" customWidth="1"/>
    <col min="6" max="16384" width="9.1796875" style="309"/>
  </cols>
  <sheetData>
    <row r="1" spans="1:9" ht="15.5">
      <c r="A1" s="542" t="str">
        <f>+CONTENTS!A1</f>
        <v>MES CONTRACTING AND TRADING LTD</v>
      </c>
      <c r="B1" s="542"/>
      <c r="C1" s="542"/>
      <c r="D1" s="542"/>
      <c r="E1" s="542"/>
      <c r="F1" s="542"/>
      <c r="G1" s="542"/>
      <c r="H1" s="56"/>
      <c r="I1" s="56"/>
    </row>
    <row r="2" spans="1:9" ht="15.5">
      <c r="A2" s="542" t="str">
        <f>+CONTENTS!B2</f>
        <v>FINANCIAL STATEMENTS</v>
      </c>
      <c r="B2" s="542"/>
      <c r="C2" s="542"/>
      <c r="D2" s="542"/>
      <c r="E2" s="542"/>
      <c r="F2" s="542"/>
      <c r="G2" s="542"/>
      <c r="H2" s="56"/>
      <c r="I2" s="56"/>
    </row>
    <row r="3" spans="1:9" ht="15.5">
      <c r="A3" s="542" t="str">
        <f>+CONTENTS!B3</f>
        <v>FOR THE YEAR ENDED 31 DECEMBER 2023</v>
      </c>
      <c r="B3" s="542"/>
      <c r="C3" s="542"/>
      <c r="D3" s="542"/>
      <c r="E3" s="542"/>
      <c r="F3" s="542"/>
      <c r="G3" s="542"/>
      <c r="H3" s="56"/>
      <c r="I3" s="56"/>
    </row>
    <row r="4" spans="1:9" ht="15.5">
      <c r="A4" s="303"/>
      <c r="B4" s="303"/>
      <c r="C4" s="303"/>
      <c r="D4" s="303"/>
      <c r="E4" s="303"/>
      <c r="F4" s="303"/>
      <c r="G4" s="303"/>
      <c r="H4" s="303"/>
      <c r="I4" s="303"/>
    </row>
    <row r="5" spans="1:9">
      <c r="A5" s="543" t="s">
        <v>9</v>
      </c>
      <c r="B5" s="543"/>
      <c r="C5" s="543"/>
      <c r="D5" s="543"/>
      <c r="E5" s="543"/>
      <c r="F5" s="543"/>
      <c r="G5" s="543"/>
      <c r="H5" s="57"/>
      <c r="I5" s="57"/>
    </row>
    <row r="7" spans="1:9">
      <c r="A7" s="32"/>
      <c r="B7" s="32"/>
      <c r="C7" s="32"/>
      <c r="D7" s="32"/>
      <c r="E7" s="32"/>
      <c r="F7" s="32"/>
      <c r="G7" s="32"/>
      <c r="H7" s="32"/>
    </row>
    <row r="8" spans="1:9">
      <c r="A8" s="57" t="s">
        <v>19</v>
      </c>
      <c r="B8" s="32"/>
      <c r="C8" s="32" t="s">
        <v>473</v>
      </c>
      <c r="D8" s="32"/>
      <c r="E8" s="32"/>
      <c r="F8" s="32"/>
      <c r="G8" s="32"/>
      <c r="H8" s="32"/>
    </row>
    <row r="9" spans="1:9">
      <c r="A9" s="32"/>
      <c r="B9" s="32"/>
      <c r="C9" s="32" t="s">
        <v>474</v>
      </c>
      <c r="D9" s="32"/>
      <c r="E9" s="32"/>
      <c r="F9" s="32"/>
      <c r="G9" s="32"/>
      <c r="H9" s="32"/>
    </row>
    <row r="10" spans="1:9">
      <c r="A10" s="32"/>
      <c r="B10" s="32"/>
      <c r="C10" s="32"/>
      <c r="D10" s="32"/>
      <c r="E10" s="32"/>
      <c r="F10" s="32"/>
      <c r="G10" s="32"/>
      <c r="H10" s="32"/>
    </row>
    <row r="11" spans="1:9">
      <c r="A11" s="32"/>
      <c r="B11" s="32"/>
      <c r="C11" s="32"/>
      <c r="D11" s="32"/>
      <c r="E11" s="32"/>
      <c r="F11" s="32"/>
      <c r="G11" s="32"/>
      <c r="H11" s="32"/>
    </row>
    <row r="12" spans="1:9">
      <c r="A12" s="32"/>
      <c r="B12" s="32"/>
      <c r="C12" s="32"/>
      <c r="D12" s="32"/>
      <c r="E12" s="32"/>
      <c r="F12" s="32"/>
      <c r="G12" s="32"/>
      <c r="H12" s="32"/>
    </row>
    <row r="13" spans="1:9">
      <c r="A13" s="57" t="s">
        <v>223</v>
      </c>
      <c r="B13" s="32"/>
      <c r="C13" s="32"/>
      <c r="E13" s="32"/>
      <c r="G13" s="32"/>
      <c r="H13" s="32"/>
    </row>
    <row r="14" spans="1:9">
      <c r="A14" s="57"/>
      <c r="B14" s="32"/>
      <c r="C14" s="32"/>
      <c r="E14" s="32"/>
      <c r="G14" s="32"/>
      <c r="H14" s="32"/>
    </row>
    <row r="15" spans="1:9">
      <c r="A15" s="57"/>
      <c r="B15" s="32"/>
      <c r="C15" s="32"/>
      <c r="G15" s="32"/>
      <c r="H15" s="32"/>
    </row>
    <row r="16" spans="1:9">
      <c r="A16" s="57"/>
      <c r="C16" s="32"/>
      <c r="E16" s="32"/>
      <c r="F16" s="32"/>
      <c r="G16" s="32"/>
      <c r="H16" s="32"/>
    </row>
    <row r="17" spans="1:8">
      <c r="A17" s="32"/>
      <c r="B17" s="32"/>
      <c r="C17" s="32"/>
      <c r="E17" s="32"/>
      <c r="F17" s="32"/>
      <c r="G17" s="32"/>
      <c r="H17" s="32"/>
    </row>
    <row r="18" spans="1:8">
      <c r="A18" s="32"/>
      <c r="B18" s="32"/>
      <c r="C18" s="32"/>
      <c r="E18" s="32"/>
      <c r="F18" s="32"/>
      <c r="G18" s="32"/>
      <c r="H18" s="32"/>
    </row>
    <row r="19" spans="1:8">
      <c r="A19" s="57" t="s">
        <v>20</v>
      </c>
      <c r="C19" s="32"/>
      <c r="E19" s="32"/>
      <c r="F19" s="32"/>
      <c r="G19" s="32"/>
      <c r="H19" s="32"/>
    </row>
    <row r="20" spans="1:8">
      <c r="A20" s="32"/>
      <c r="B20" s="32"/>
      <c r="C20" s="32"/>
      <c r="E20" s="32"/>
      <c r="F20" s="32"/>
      <c r="G20" s="32"/>
      <c r="H20" s="32"/>
    </row>
    <row r="21" spans="1:8">
      <c r="A21" s="32"/>
      <c r="B21" s="32"/>
      <c r="C21" s="32"/>
      <c r="D21" s="32"/>
      <c r="E21" s="32"/>
      <c r="F21" s="32"/>
      <c r="G21" s="32"/>
      <c r="H21" s="32"/>
    </row>
    <row r="22" spans="1:8">
      <c r="A22" s="32"/>
      <c r="B22" s="32"/>
      <c r="C22" s="32"/>
      <c r="D22" s="32"/>
      <c r="E22" s="32"/>
      <c r="F22" s="32"/>
      <c r="G22" s="32"/>
      <c r="H22" s="32"/>
    </row>
    <row r="23" spans="1:8">
      <c r="A23" s="32"/>
      <c r="B23" s="32"/>
      <c r="C23" s="32"/>
      <c r="D23" s="32"/>
      <c r="E23" s="32"/>
      <c r="F23" s="32"/>
      <c r="G23" s="32"/>
      <c r="H23" s="32"/>
    </row>
    <row r="24" spans="1:8">
      <c r="A24" s="57" t="s">
        <v>21</v>
      </c>
      <c r="B24" s="32"/>
      <c r="C24" s="32" t="s">
        <v>1</v>
      </c>
      <c r="E24" s="32"/>
      <c r="F24" s="32"/>
      <c r="G24" s="32"/>
      <c r="H24" s="32"/>
    </row>
    <row r="25" spans="1:8">
      <c r="A25" s="32"/>
      <c r="B25" s="32"/>
      <c r="C25" s="32" t="s">
        <v>22</v>
      </c>
      <c r="E25" s="32"/>
      <c r="F25" s="32"/>
      <c r="G25" s="32"/>
      <c r="H25" s="32"/>
    </row>
    <row r="26" spans="1:8">
      <c r="A26" s="32"/>
      <c r="B26" s="32"/>
      <c r="C26" s="32" t="s">
        <v>23</v>
      </c>
      <c r="E26" s="32"/>
      <c r="F26" s="32"/>
      <c r="G26" s="32"/>
      <c r="H26" s="32"/>
    </row>
    <row r="27" spans="1:8">
      <c r="A27" s="32"/>
      <c r="B27" s="32"/>
      <c r="C27" s="32" t="s">
        <v>24</v>
      </c>
      <c r="E27" s="32"/>
      <c r="F27" s="32"/>
      <c r="G27" s="32"/>
      <c r="H27" s="32"/>
    </row>
    <row r="28" spans="1:8">
      <c r="A28" s="32"/>
      <c r="B28" s="32"/>
      <c r="C28" s="32"/>
      <c r="D28" s="32"/>
      <c r="E28" s="32"/>
      <c r="F28" s="32"/>
      <c r="G28" s="32"/>
      <c r="H28" s="32"/>
    </row>
    <row r="29" spans="1:8">
      <c r="A29" s="32"/>
      <c r="B29" s="32"/>
      <c r="C29" s="32"/>
      <c r="D29" s="32"/>
      <c r="E29" s="32"/>
      <c r="F29" s="32"/>
      <c r="G29" s="32"/>
      <c r="H29" s="32"/>
    </row>
    <row r="30" spans="1:8">
      <c r="A30" s="32"/>
      <c r="B30" s="32"/>
      <c r="C30" s="32"/>
      <c r="D30" s="32"/>
      <c r="E30" s="32"/>
      <c r="F30" s="32"/>
      <c r="G30" s="32"/>
      <c r="H30" s="32"/>
    </row>
    <row r="31" spans="1:8" s="32" customFormat="1" ht="14">
      <c r="A31" s="57" t="s">
        <v>25</v>
      </c>
      <c r="C31" s="32" t="s">
        <v>220</v>
      </c>
    </row>
    <row r="32" spans="1:8" s="32" customFormat="1" ht="14">
      <c r="C32" s="32" t="s">
        <v>475</v>
      </c>
    </row>
    <row r="33" spans="1:4" s="32" customFormat="1" ht="14"/>
    <row r="34" spans="1:4" s="32" customFormat="1" ht="14"/>
    <row r="35" spans="1:4" s="32" customFormat="1" ht="14">
      <c r="A35" s="57" t="s">
        <v>221</v>
      </c>
      <c r="C35" s="32" t="s">
        <v>222</v>
      </c>
    </row>
    <row r="36" spans="1:4" s="32" customFormat="1" ht="14">
      <c r="C36" s="32" t="s">
        <v>219</v>
      </c>
    </row>
    <row r="37" spans="1:4" s="32" customFormat="1" ht="14"/>
    <row r="38" spans="1:4" s="32" customFormat="1" ht="14"/>
    <row r="39" spans="1:4" s="32" customFormat="1" ht="14"/>
    <row r="40" spans="1:4" s="32" customFormat="1" ht="14">
      <c r="A40" s="57" t="s">
        <v>26</v>
      </c>
      <c r="C40" s="32" t="s">
        <v>467</v>
      </c>
    </row>
    <row r="41" spans="1:4" s="32" customFormat="1" ht="14"/>
    <row r="42" spans="1:4" s="32" customFormat="1" ht="14"/>
    <row r="43" spans="1:4">
      <c r="D43" s="32"/>
    </row>
    <row r="44" spans="1:4">
      <c r="D44" s="32"/>
    </row>
  </sheetData>
  <mergeCells count="4">
    <mergeCell ref="A1:G1"/>
    <mergeCell ref="A2:G2"/>
    <mergeCell ref="A3:G3"/>
    <mergeCell ref="A5:G5"/>
  </mergeCells>
  <printOptions horizontalCentered="1"/>
  <pageMargins left="0.7" right="0.7" top="0.78333333333333333" bottom="0.75" header="0.3" footer="0.3"/>
  <pageSetup paperSize="9" orientation="portrait" r:id="rId1"/>
  <headerFooter>
    <oddFooter>&amp;C1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CFE69-0B8D-4D52-9A0D-4EE041535389}">
  <dimension ref="A1:M46"/>
  <sheetViews>
    <sheetView view="pageLayout" topLeftCell="A15" zoomScaleNormal="100" workbookViewId="0">
      <selection activeCell="G23" sqref="G23"/>
    </sheetView>
  </sheetViews>
  <sheetFormatPr defaultColWidth="11.453125" defaultRowHeight="14.5"/>
  <cols>
    <col min="1" max="2" width="11.453125" style="309"/>
    <col min="3" max="3" width="5.7265625" style="309" customWidth="1"/>
    <col min="4" max="4" width="7.1796875" style="309" customWidth="1"/>
    <col min="5" max="5" width="5.7265625" style="309" customWidth="1"/>
    <col min="6" max="6" width="10.1796875" style="309" customWidth="1"/>
    <col min="7" max="7" width="13.54296875" style="35" bestFit="1" customWidth="1"/>
    <col min="8" max="8" width="1.7265625" style="309" customWidth="1"/>
    <col min="9" max="9" width="13.54296875" style="35" bestFit="1" customWidth="1"/>
    <col min="10" max="16384" width="11.453125" style="309"/>
  </cols>
  <sheetData>
    <row r="1" spans="1:13" ht="15.5">
      <c r="A1" s="542" t="str">
        <f>+'COR INF'!A1:G1</f>
        <v>MES CONTRACTING AND TRADING LTD</v>
      </c>
      <c r="B1" s="542"/>
      <c r="C1" s="542"/>
      <c r="D1" s="542"/>
      <c r="E1" s="542"/>
      <c r="F1" s="542"/>
      <c r="G1" s="542"/>
      <c r="H1" s="542"/>
      <c r="I1" s="542"/>
    </row>
    <row r="2" spans="1:13" ht="15.5">
      <c r="A2" s="542" t="s">
        <v>27</v>
      </c>
      <c r="B2" s="542"/>
      <c r="C2" s="542"/>
      <c r="D2" s="542"/>
      <c r="E2" s="542"/>
      <c r="F2" s="542"/>
      <c r="G2" s="542"/>
      <c r="H2" s="542"/>
      <c r="I2" s="542"/>
    </row>
    <row r="3" spans="1:13" ht="15.5">
      <c r="A3" s="542" t="str">
        <f>+'COR INF'!A3:G3</f>
        <v>FOR THE YEAR ENDED 31 DECEMBER 2023</v>
      </c>
      <c r="B3" s="542"/>
      <c r="C3" s="542"/>
      <c r="D3" s="542"/>
      <c r="E3" s="542"/>
      <c r="F3" s="542"/>
      <c r="G3" s="542"/>
      <c r="H3" s="542"/>
      <c r="I3" s="542"/>
    </row>
    <row r="4" spans="1:13">
      <c r="A4" s="306"/>
      <c r="B4" s="306"/>
      <c r="C4" s="306"/>
      <c r="D4" s="306"/>
      <c r="E4" s="306"/>
      <c r="F4" s="306"/>
      <c r="G4" s="306"/>
      <c r="H4" s="306"/>
      <c r="I4" s="305"/>
      <c r="M4" s="33"/>
    </row>
    <row r="5" spans="1:13">
      <c r="A5" s="545" t="s">
        <v>533</v>
      </c>
      <c r="B5" s="545"/>
      <c r="C5" s="545"/>
      <c r="D5" s="545"/>
      <c r="E5" s="545"/>
      <c r="F5" s="545"/>
      <c r="G5" s="545"/>
      <c r="H5" s="545"/>
      <c r="I5" s="545"/>
    </row>
    <row r="6" spans="1:13">
      <c r="A6" s="545"/>
      <c r="B6" s="545"/>
      <c r="C6" s="545"/>
      <c r="D6" s="545"/>
      <c r="E6" s="545"/>
      <c r="F6" s="545"/>
      <c r="G6" s="545"/>
      <c r="H6" s="545"/>
      <c r="I6" s="545"/>
    </row>
    <row r="7" spans="1:13">
      <c r="A7" s="545"/>
      <c r="B7" s="545"/>
      <c r="C7" s="545"/>
      <c r="D7" s="545"/>
      <c r="E7" s="545"/>
      <c r="F7" s="545"/>
      <c r="G7" s="545"/>
      <c r="H7" s="545"/>
      <c r="I7" s="545"/>
    </row>
    <row r="8" spans="1:13">
      <c r="A8" s="545"/>
      <c r="B8" s="545"/>
      <c r="C8" s="545"/>
      <c r="D8" s="545"/>
      <c r="E8" s="545"/>
      <c r="F8" s="545"/>
      <c r="G8" s="545"/>
      <c r="H8" s="545"/>
      <c r="I8" s="545"/>
    </row>
    <row r="9" spans="1:13">
      <c r="A9" s="304"/>
      <c r="B9" s="304"/>
      <c r="C9" s="304"/>
      <c r="D9" s="304"/>
      <c r="E9" s="304"/>
      <c r="F9" s="304"/>
      <c r="G9" s="304"/>
      <c r="H9" s="304"/>
      <c r="I9" s="304"/>
    </row>
    <row r="10" spans="1:13">
      <c r="A10" s="546" t="s">
        <v>28</v>
      </c>
      <c r="B10" s="546"/>
      <c r="C10" s="546"/>
      <c r="D10" s="546"/>
      <c r="E10" s="546"/>
      <c r="F10" s="304"/>
      <c r="G10" s="304"/>
      <c r="H10" s="304"/>
      <c r="I10" s="304"/>
    </row>
    <row r="11" spans="1:13" ht="8.5" customHeight="1">
      <c r="A11" s="304"/>
      <c r="B11" s="304"/>
      <c r="C11" s="304"/>
      <c r="D11" s="304"/>
      <c r="E11" s="304"/>
      <c r="F11" s="304"/>
      <c r="G11" s="304"/>
      <c r="H11" s="304"/>
      <c r="I11" s="304"/>
    </row>
    <row r="12" spans="1:13" ht="127.9" customHeight="1">
      <c r="A12" s="544" t="s">
        <v>464</v>
      </c>
      <c r="B12" s="544"/>
      <c r="C12" s="544"/>
      <c r="D12" s="544"/>
      <c r="E12" s="544"/>
      <c r="F12" s="544"/>
      <c r="G12" s="544"/>
      <c r="H12" s="544"/>
      <c r="I12" s="544"/>
    </row>
    <row r="13" spans="1:13">
      <c r="A13" s="304"/>
      <c r="B13" s="304"/>
      <c r="C13" s="304"/>
      <c r="D13" s="304"/>
      <c r="E13" s="304"/>
      <c r="F13" s="304"/>
      <c r="G13" s="304"/>
      <c r="H13" s="304"/>
      <c r="I13" s="304"/>
    </row>
    <row r="14" spans="1:13" ht="58.15" customHeight="1">
      <c r="A14" s="550" t="s">
        <v>29</v>
      </c>
      <c r="B14" s="550"/>
      <c r="C14" s="550"/>
      <c r="D14" s="550"/>
      <c r="E14" s="550"/>
      <c r="F14" s="550"/>
      <c r="G14" s="550"/>
      <c r="H14" s="550"/>
      <c r="I14" s="550"/>
    </row>
    <row r="15" spans="1:13">
      <c r="A15" s="304"/>
      <c r="B15" s="304"/>
      <c r="C15" s="304"/>
      <c r="D15" s="304"/>
      <c r="E15" s="304"/>
      <c r="F15" s="304"/>
      <c r="G15" s="304"/>
      <c r="H15" s="304"/>
      <c r="I15" s="304"/>
    </row>
    <row r="16" spans="1:13" ht="45" customHeight="1">
      <c r="A16" s="550" t="s">
        <v>30</v>
      </c>
      <c r="B16" s="550"/>
      <c r="C16" s="550"/>
      <c r="D16" s="550"/>
      <c r="E16" s="550"/>
      <c r="F16" s="550"/>
      <c r="G16" s="550"/>
      <c r="H16" s="550"/>
      <c r="I16" s="550"/>
    </row>
    <row r="17" spans="1:9">
      <c r="A17" s="304"/>
      <c r="B17" s="304"/>
      <c r="C17" s="304"/>
      <c r="D17" s="304"/>
      <c r="E17" s="304"/>
      <c r="F17" s="304"/>
      <c r="G17" s="304"/>
      <c r="H17" s="304"/>
      <c r="I17" s="304"/>
    </row>
    <row r="18" spans="1:9" ht="30" customHeight="1">
      <c r="A18" s="550" t="s">
        <v>31</v>
      </c>
      <c r="B18" s="550"/>
      <c r="C18" s="550"/>
      <c r="D18" s="550"/>
      <c r="E18" s="550"/>
      <c r="F18" s="550"/>
      <c r="G18" s="550"/>
      <c r="H18" s="550"/>
      <c r="I18" s="550"/>
    </row>
    <row r="19" spans="1:9">
      <c r="A19" s="304"/>
      <c r="B19" s="304"/>
      <c r="C19" s="304"/>
      <c r="D19" s="304"/>
      <c r="E19" s="304"/>
      <c r="F19" s="304"/>
      <c r="G19" s="304"/>
      <c r="H19" s="304"/>
      <c r="I19" s="304"/>
    </row>
    <row r="20" spans="1:9">
      <c r="A20" s="34" t="s">
        <v>32</v>
      </c>
      <c r="B20" s="34"/>
      <c r="C20" s="34"/>
      <c r="D20" s="34"/>
      <c r="E20" s="34"/>
      <c r="F20" s="34"/>
      <c r="G20" s="34"/>
      <c r="H20" s="34"/>
      <c r="I20" s="34"/>
    </row>
    <row r="21" spans="1:9" ht="2.5" customHeight="1"/>
    <row r="22" spans="1:9">
      <c r="A22" s="32"/>
      <c r="B22" s="32"/>
      <c r="C22" s="32"/>
      <c r="D22" s="32"/>
      <c r="E22" s="32"/>
      <c r="F22" s="32"/>
      <c r="G22" s="36" t="s">
        <v>478</v>
      </c>
      <c r="H22" s="37">
        <f>+'P &amp; L'!G5</f>
        <v>0</v>
      </c>
      <c r="I22" s="38" t="s">
        <v>33</v>
      </c>
    </row>
    <row r="23" spans="1:9" ht="1.9" customHeight="1">
      <c r="A23" s="32"/>
      <c r="B23" s="32"/>
      <c r="C23" s="32"/>
      <c r="D23" s="32"/>
      <c r="E23" s="32"/>
      <c r="F23" s="32"/>
      <c r="G23" s="36"/>
      <c r="H23" s="32"/>
      <c r="I23" s="38"/>
    </row>
    <row r="24" spans="1:9">
      <c r="A24" s="32"/>
      <c r="B24" s="32"/>
      <c r="C24" s="32"/>
      <c r="D24" s="32"/>
      <c r="E24" s="32"/>
      <c r="F24" s="32"/>
      <c r="G24" s="37" t="s">
        <v>34</v>
      </c>
      <c r="H24" s="32"/>
      <c r="I24" s="39" t="s">
        <v>34</v>
      </c>
    </row>
    <row r="25" spans="1:9" ht="3.65" customHeight="1">
      <c r="A25" s="32"/>
      <c r="B25" s="32"/>
      <c r="C25" s="32"/>
      <c r="D25" s="32"/>
      <c r="E25" s="32"/>
      <c r="F25" s="32"/>
      <c r="G25" s="32"/>
      <c r="H25" s="32"/>
      <c r="I25" s="32"/>
    </row>
    <row r="26" spans="1:9">
      <c r="A26" s="32" t="s">
        <v>35</v>
      </c>
      <c r="B26" s="32"/>
      <c r="C26" s="32"/>
      <c r="D26" s="32"/>
      <c r="E26" s="32"/>
      <c r="F26" s="32"/>
      <c r="G26" s="37">
        <f>+'P &amp; L'!F8</f>
        <v>18238665.580159433</v>
      </c>
      <c r="H26" s="37">
        <f>+'P &amp; L'!G8</f>
        <v>0</v>
      </c>
      <c r="I26" s="39">
        <f>+'P &amp; L'!H8</f>
        <v>3817773.16</v>
      </c>
    </row>
    <row r="27" spans="1:9" ht="7.15" customHeight="1">
      <c r="A27" s="32"/>
      <c r="B27" s="32"/>
      <c r="C27" s="32"/>
      <c r="D27" s="32"/>
      <c r="E27" s="32"/>
      <c r="F27" s="32"/>
      <c r="G27" s="40"/>
      <c r="H27" s="32"/>
      <c r="I27" s="41"/>
    </row>
    <row r="28" spans="1:9" ht="7.15" customHeight="1">
      <c r="A28" s="32"/>
      <c r="B28" s="32"/>
      <c r="C28" s="32"/>
      <c r="D28" s="32"/>
      <c r="E28" s="32"/>
      <c r="F28" s="32"/>
      <c r="G28" s="42"/>
      <c r="H28" s="32"/>
      <c r="I28" s="43"/>
    </row>
    <row r="29" spans="1:9" ht="18" customHeight="1">
      <c r="A29" s="32" t="s">
        <v>36</v>
      </c>
      <c r="B29" s="32"/>
      <c r="C29" s="32"/>
      <c r="D29" s="32"/>
      <c r="E29" s="32"/>
      <c r="F29" s="32"/>
      <c r="G29" s="300">
        <f>+'P &amp; L'!F24</f>
        <v>406725.98716813093</v>
      </c>
      <c r="H29" s="300">
        <f>+'P &amp; L'!G24</f>
        <v>0</v>
      </c>
      <c r="I29" s="301">
        <f>+'P &amp; L'!H24</f>
        <v>113660.07620000013</v>
      </c>
    </row>
    <row r="30" spans="1:9" ht="7.9" customHeight="1">
      <c r="A30" s="32"/>
      <c r="B30" s="32"/>
      <c r="C30" s="32"/>
      <c r="D30" s="32"/>
      <c r="E30" s="32"/>
      <c r="F30" s="32"/>
      <c r="G30" s="42"/>
      <c r="H30" s="32"/>
      <c r="I30" s="43"/>
    </row>
    <row r="31" spans="1:9">
      <c r="A31" s="44" t="s">
        <v>37</v>
      </c>
      <c r="B31" s="32"/>
      <c r="C31" s="32"/>
      <c r="D31" s="32"/>
      <c r="E31" s="32"/>
      <c r="F31" s="32"/>
      <c r="G31" s="551">
        <f>+'P &amp; L'!F30</f>
        <v>-95575.628192032746</v>
      </c>
      <c r="H31" s="32"/>
      <c r="I31" s="552">
        <f>+'P &amp; L'!H30</f>
        <v>-28579.4330499998</v>
      </c>
    </row>
    <row r="32" spans="1:9">
      <c r="A32" s="44" t="s">
        <v>38</v>
      </c>
      <c r="B32" s="32"/>
      <c r="C32" s="32"/>
      <c r="D32" s="32"/>
      <c r="E32" s="32"/>
      <c r="F32" s="32"/>
      <c r="G32" s="551"/>
      <c r="H32" s="32"/>
      <c r="I32" s="552"/>
    </row>
    <row r="33" spans="1:9" ht="7.15" customHeight="1">
      <c r="A33" s="44"/>
      <c r="B33" s="32"/>
      <c r="C33" s="32"/>
      <c r="D33" s="32"/>
      <c r="E33" s="32"/>
      <c r="F33" s="32"/>
      <c r="G33" s="45"/>
      <c r="H33" s="32"/>
      <c r="I33" s="46"/>
    </row>
    <row r="34" spans="1:9" ht="16.149999999999999" customHeight="1">
      <c r="A34" s="44" t="s">
        <v>39</v>
      </c>
      <c r="B34" s="32"/>
      <c r="C34" s="32"/>
      <c r="D34" s="32"/>
      <c r="E34" s="32"/>
      <c r="F34" s="32"/>
      <c r="G34" s="42">
        <f>SUM(G29:G33)</f>
        <v>311150.35897609818</v>
      </c>
      <c r="H34" s="32"/>
      <c r="I34" s="43">
        <f>+I29+I31</f>
        <v>85080.643150000324</v>
      </c>
    </row>
    <row r="35" spans="1:9" ht="7.15" customHeight="1">
      <c r="A35" s="44"/>
      <c r="B35" s="32"/>
      <c r="C35" s="32"/>
      <c r="D35" s="32"/>
      <c r="E35" s="32"/>
      <c r="F35" s="32"/>
      <c r="G35" s="42"/>
      <c r="H35" s="32"/>
      <c r="I35" s="43"/>
    </row>
    <row r="36" spans="1:9" ht="28.15" customHeight="1">
      <c r="A36" s="547" t="s">
        <v>40</v>
      </c>
      <c r="B36" s="547"/>
      <c r="C36" s="547"/>
      <c r="D36" s="547"/>
      <c r="E36" s="547"/>
      <c r="F36" s="307"/>
      <c r="G36" s="300">
        <f>+I40</f>
        <v>185956.64315000031</v>
      </c>
      <c r="H36" s="32"/>
      <c r="I36" s="47">
        <f>+'N12-16'!H34</f>
        <v>100876</v>
      </c>
    </row>
    <row r="37" spans="1:9" ht="6" hidden="1" customHeight="1">
      <c r="A37" s="307"/>
      <c r="B37" s="307"/>
      <c r="C37" s="307"/>
      <c r="D37" s="307"/>
      <c r="E37" s="307"/>
      <c r="F37" s="307"/>
      <c r="G37" s="297"/>
      <c r="H37" s="32"/>
      <c r="I37" s="298"/>
    </row>
    <row r="38" spans="1:9" ht="17.25" hidden="1" customHeight="1">
      <c r="A38" s="547" t="s">
        <v>41</v>
      </c>
      <c r="B38" s="547"/>
      <c r="C38" s="547"/>
      <c r="D38" s="547"/>
      <c r="E38" s="547"/>
      <c r="F38" s="547"/>
      <c r="G38" s="48"/>
      <c r="H38" s="32"/>
      <c r="I38" s="49" t="s">
        <v>42</v>
      </c>
    </row>
    <row r="39" spans="1:9" ht="6.65" customHeight="1">
      <c r="A39" s="307"/>
      <c r="B39" s="307"/>
      <c r="C39" s="307"/>
      <c r="D39" s="307"/>
      <c r="E39" s="307"/>
      <c r="F39" s="307"/>
      <c r="G39" s="50"/>
      <c r="H39" s="32"/>
      <c r="I39" s="51"/>
    </row>
    <row r="40" spans="1:9" ht="14.25" customHeight="1">
      <c r="A40" s="294" t="s">
        <v>43</v>
      </c>
      <c r="B40" s="32"/>
      <c r="C40" s="32"/>
      <c r="D40" s="32"/>
      <c r="E40" s="32"/>
      <c r="F40" s="32"/>
      <c r="G40" s="548">
        <f>SUM(G34:G38)</f>
        <v>497107.00212609849</v>
      </c>
      <c r="H40" s="32"/>
      <c r="I40" s="549">
        <f>SUM(I34:I38)</f>
        <v>185956.64315000031</v>
      </c>
    </row>
    <row r="41" spans="1:9" ht="14.25" customHeight="1">
      <c r="A41" s="32" t="s">
        <v>44</v>
      </c>
      <c r="B41" s="32"/>
      <c r="C41" s="32"/>
      <c r="D41" s="32"/>
      <c r="E41" s="32"/>
      <c r="F41" s="32"/>
      <c r="G41" s="548"/>
      <c r="H41" s="32"/>
      <c r="I41" s="549"/>
    </row>
    <row r="42" spans="1:9" ht="7.9" customHeight="1" thickBot="1">
      <c r="A42" s="32"/>
      <c r="B42" s="32"/>
      <c r="C42" s="32"/>
      <c r="D42" s="32"/>
      <c r="E42" s="32"/>
      <c r="F42" s="32"/>
      <c r="G42" s="52"/>
      <c r="H42" s="32"/>
      <c r="I42" s="53"/>
    </row>
    <row r="43" spans="1:9" ht="15" thickTop="1">
      <c r="A43" s="32"/>
      <c r="B43" s="32"/>
      <c r="C43" s="32"/>
      <c r="D43" s="32"/>
      <c r="E43" s="32"/>
      <c r="F43" s="32"/>
      <c r="G43" s="45"/>
      <c r="H43" s="54"/>
      <c r="I43" s="46"/>
    </row>
    <row r="44" spans="1:9">
      <c r="I44" s="55"/>
    </row>
    <row r="46" spans="1:9">
      <c r="I46" s="55"/>
    </row>
  </sheetData>
  <mergeCells count="15">
    <mergeCell ref="A38:F38"/>
    <mergeCell ref="G40:G41"/>
    <mergeCell ref="I40:I41"/>
    <mergeCell ref="A14:I14"/>
    <mergeCell ref="A16:I16"/>
    <mergeCell ref="A18:I18"/>
    <mergeCell ref="G31:G32"/>
    <mergeCell ref="I31:I32"/>
    <mergeCell ref="A36:E36"/>
    <mergeCell ref="A12:I12"/>
    <mergeCell ref="A1:I1"/>
    <mergeCell ref="A2:I2"/>
    <mergeCell ref="A3:I3"/>
    <mergeCell ref="A5:I8"/>
    <mergeCell ref="A10:E10"/>
  </mergeCells>
  <printOptions horizontalCentered="1"/>
  <pageMargins left="0.7" right="0.7" top="0.75" bottom="0.75" header="0.3" footer="0.3"/>
  <pageSetup paperSize="9" orientation="portrait" r:id="rId1"/>
  <headerFooter>
    <oddFooter>&amp;C2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719F1-3911-4C1F-AE78-139383BBFB26}">
  <dimension ref="A1:K56"/>
  <sheetViews>
    <sheetView view="pageLayout" topLeftCell="A18" zoomScaleNormal="100" workbookViewId="0">
      <selection activeCell="B53" sqref="B53"/>
    </sheetView>
  </sheetViews>
  <sheetFormatPr defaultColWidth="11.453125" defaultRowHeight="14.5"/>
  <cols>
    <col min="1" max="1" width="5.1796875" style="309" customWidth="1"/>
    <col min="2" max="2" width="20.7265625" style="309" customWidth="1"/>
    <col min="3" max="3" width="14.26953125" style="309" customWidth="1"/>
    <col min="4" max="4" width="14.1796875" style="309" customWidth="1"/>
    <col min="5" max="5" width="13.7265625" style="309" customWidth="1"/>
    <col min="6" max="6" width="15.54296875" style="309" customWidth="1"/>
    <col min="7" max="16384" width="11.453125" style="309"/>
  </cols>
  <sheetData>
    <row r="1" spans="1:7" ht="15.5">
      <c r="A1" s="542" t="str">
        <f>+'DR1'!A1:I1</f>
        <v>MES CONTRACTING AND TRADING LTD</v>
      </c>
      <c r="B1" s="542"/>
      <c r="C1" s="542"/>
      <c r="D1" s="542"/>
      <c r="E1" s="542"/>
      <c r="F1" s="542"/>
      <c r="G1" s="56"/>
    </row>
    <row r="2" spans="1:7" ht="15.5">
      <c r="A2" s="542" t="s">
        <v>45</v>
      </c>
      <c r="B2" s="542"/>
      <c r="C2" s="542"/>
      <c r="D2" s="542"/>
      <c r="E2" s="542"/>
      <c r="F2" s="542"/>
      <c r="G2" s="303"/>
    </row>
    <row r="3" spans="1:7" ht="15.5">
      <c r="A3" s="542" t="str">
        <f>+'DR1'!A3:I3</f>
        <v>FOR THE YEAR ENDED 31 DECEMBER 2023</v>
      </c>
      <c r="B3" s="542"/>
      <c r="C3" s="542"/>
      <c r="D3" s="542"/>
      <c r="E3" s="542"/>
      <c r="F3" s="542"/>
      <c r="G3" s="303"/>
    </row>
    <row r="4" spans="1:7" ht="7.15" customHeight="1">
      <c r="A4" s="32"/>
      <c r="B4" s="32"/>
      <c r="C4" s="32"/>
      <c r="D4" s="32"/>
      <c r="E4" s="32"/>
      <c r="F4" s="32"/>
      <c r="G4" s="32"/>
    </row>
    <row r="5" spans="1:7">
      <c r="A5" s="32"/>
      <c r="B5" s="57" t="s">
        <v>46</v>
      </c>
      <c r="C5" s="32"/>
      <c r="D5" s="32"/>
      <c r="E5" s="32"/>
      <c r="F5" s="32"/>
      <c r="G5" s="54"/>
    </row>
    <row r="6" spans="1:7" ht="3" customHeight="1">
      <c r="A6" s="32"/>
      <c r="B6" s="32"/>
      <c r="C6" s="32"/>
      <c r="D6" s="32"/>
      <c r="E6" s="32"/>
      <c r="F6" s="32"/>
      <c r="G6" s="54"/>
    </row>
    <row r="7" spans="1:7">
      <c r="A7" s="32"/>
      <c r="B7" s="32" t="s">
        <v>47</v>
      </c>
      <c r="C7" s="32"/>
      <c r="D7" s="32"/>
      <c r="E7" s="32"/>
      <c r="F7" s="32"/>
      <c r="G7" s="54"/>
    </row>
    <row r="8" spans="1:7" ht="7.15" customHeight="1">
      <c r="A8" s="32"/>
      <c r="B8" s="32"/>
      <c r="C8" s="32"/>
      <c r="D8" s="32"/>
      <c r="E8" s="32"/>
      <c r="F8" s="32"/>
      <c r="G8" s="54"/>
    </row>
    <row r="9" spans="1:7">
      <c r="A9" s="32"/>
      <c r="B9" s="553" t="s">
        <v>48</v>
      </c>
      <c r="C9" s="553"/>
      <c r="D9" s="554" t="s">
        <v>49</v>
      </c>
      <c r="E9" s="554"/>
      <c r="G9" s="54"/>
    </row>
    <row r="10" spans="1:7" ht="3" customHeight="1">
      <c r="A10" s="32"/>
      <c r="B10" s="57"/>
      <c r="C10" s="57"/>
      <c r="D10" s="57"/>
      <c r="G10" s="54"/>
    </row>
    <row r="11" spans="1:7">
      <c r="A11" s="32"/>
      <c r="B11" s="32" t="s">
        <v>473</v>
      </c>
      <c r="C11" s="32"/>
      <c r="D11" s="555" t="s">
        <v>50</v>
      </c>
      <c r="E11" s="555"/>
      <c r="F11" s="35"/>
      <c r="G11" s="54"/>
    </row>
    <row r="12" spans="1:7">
      <c r="A12" s="32"/>
      <c r="B12" s="32" t="s">
        <v>474</v>
      </c>
      <c r="C12" s="32"/>
      <c r="D12" s="555" t="s">
        <v>217</v>
      </c>
      <c r="E12" s="555"/>
      <c r="F12" s="35"/>
      <c r="G12" s="54"/>
    </row>
    <row r="13" spans="1:7">
      <c r="A13" s="32"/>
      <c r="B13" s="32"/>
      <c r="C13" s="32"/>
      <c r="D13" s="555"/>
      <c r="E13" s="555"/>
      <c r="G13" s="54"/>
    </row>
    <row r="14" spans="1:7">
      <c r="G14" s="54"/>
    </row>
    <row r="15" spans="1:7">
      <c r="B15" s="546" t="s">
        <v>51</v>
      </c>
      <c r="C15" s="546"/>
      <c r="D15" s="546"/>
      <c r="E15" s="546"/>
      <c r="F15" s="58"/>
      <c r="G15" s="54"/>
    </row>
    <row r="16" spans="1:7" ht="5.5" customHeight="1">
      <c r="A16" s="32"/>
      <c r="B16" s="34"/>
      <c r="C16" s="34"/>
      <c r="D16" s="34"/>
      <c r="E16" s="34"/>
      <c r="F16" s="58"/>
      <c r="G16" s="32"/>
    </row>
    <row r="17" spans="1:11" ht="42" customHeight="1">
      <c r="A17" s="32"/>
      <c r="B17" s="550" t="s">
        <v>52</v>
      </c>
      <c r="C17" s="550"/>
      <c r="D17" s="550"/>
      <c r="E17" s="550"/>
      <c r="F17" s="550"/>
      <c r="G17" s="32"/>
    </row>
    <row r="18" spans="1:11" ht="0.65" customHeight="1">
      <c r="A18" s="32"/>
      <c r="B18" s="299"/>
      <c r="C18" s="299"/>
      <c r="D18" s="299"/>
      <c r="E18" s="299"/>
      <c r="F18" s="299"/>
      <c r="G18" s="32"/>
    </row>
    <row r="19" spans="1:11" ht="13.15" customHeight="1">
      <c r="A19" s="32"/>
      <c r="B19" s="34"/>
      <c r="C19" s="34"/>
      <c r="D19" s="34"/>
      <c r="E19" s="34"/>
      <c r="F19" s="58"/>
      <c r="G19" s="59"/>
    </row>
    <row r="20" spans="1:11">
      <c r="A20" s="32"/>
      <c r="B20" s="556" t="s">
        <v>53</v>
      </c>
      <c r="C20" s="556"/>
      <c r="D20" s="556"/>
      <c r="E20" s="556"/>
      <c r="F20" s="556"/>
      <c r="G20" s="59"/>
    </row>
    <row r="21" spans="1:11" ht="4.1500000000000004" customHeight="1">
      <c r="A21" s="32"/>
      <c r="B21" s="34"/>
      <c r="C21" s="34"/>
      <c r="D21" s="34"/>
      <c r="E21" s="34"/>
      <c r="F21" s="58"/>
      <c r="G21" s="32"/>
    </row>
    <row r="22" spans="1:11" ht="58.15" customHeight="1">
      <c r="A22" s="32"/>
      <c r="B22" s="545" t="s">
        <v>54</v>
      </c>
      <c r="C22" s="545"/>
      <c r="D22" s="545"/>
      <c r="E22" s="545"/>
      <c r="F22" s="545"/>
      <c r="G22" s="32"/>
      <c r="H22" s="310"/>
      <c r="I22" s="310"/>
      <c r="J22" s="310"/>
      <c r="K22" s="310"/>
    </row>
    <row r="23" spans="1:11" ht="4.1500000000000004" customHeight="1">
      <c r="A23" s="32"/>
      <c r="B23" s="299"/>
      <c r="C23" s="299"/>
      <c r="D23" s="299"/>
      <c r="E23" s="299"/>
      <c r="F23" s="299"/>
      <c r="G23" s="32"/>
      <c r="H23" s="310"/>
      <c r="I23" s="310"/>
      <c r="J23" s="310"/>
      <c r="K23" s="310"/>
    </row>
    <row r="24" spans="1:11" hidden="1">
      <c r="A24" s="60"/>
      <c r="B24" s="34"/>
      <c r="C24" s="34"/>
      <c r="D24" s="34"/>
      <c r="E24" s="34"/>
      <c r="F24" s="58"/>
      <c r="G24" s="32"/>
    </row>
    <row r="25" spans="1:11" hidden="1">
      <c r="A25" s="60"/>
      <c r="B25" s="556" t="s">
        <v>55</v>
      </c>
      <c r="C25" s="556"/>
      <c r="D25" s="556"/>
      <c r="E25" s="556"/>
      <c r="F25" s="556"/>
    </row>
    <row r="26" spans="1:11" ht="4.9000000000000004" hidden="1" customHeight="1">
      <c r="A26" s="60"/>
      <c r="B26" s="34"/>
      <c r="C26" s="34"/>
      <c r="D26" s="34"/>
      <c r="E26" s="34"/>
      <c r="F26" s="58"/>
    </row>
    <row r="27" spans="1:11" hidden="1">
      <c r="A27" s="60"/>
      <c r="B27" s="61" t="s">
        <v>56</v>
      </c>
      <c r="C27" s="61"/>
      <c r="D27" s="61"/>
      <c r="E27" s="61"/>
      <c r="F27" s="61"/>
      <c r="G27" s="32"/>
    </row>
    <row r="28" spans="1:11" ht="5.5" hidden="1" customHeight="1">
      <c r="A28" s="60"/>
      <c r="B28" s="62"/>
      <c r="C28" s="62"/>
      <c r="D28" s="62"/>
      <c r="E28" s="62"/>
      <c r="F28" s="62"/>
      <c r="G28" s="32"/>
    </row>
    <row r="29" spans="1:11">
      <c r="A29" s="60"/>
      <c r="B29" s="62"/>
      <c r="C29" s="62"/>
      <c r="D29" s="62"/>
      <c r="E29" s="62"/>
      <c r="F29" s="62"/>
      <c r="G29" s="32"/>
    </row>
    <row r="30" spans="1:11">
      <c r="A30" s="60"/>
      <c r="B30" s="556" t="s">
        <v>57</v>
      </c>
      <c r="C30" s="556"/>
      <c r="D30" s="556"/>
      <c r="E30" s="556"/>
      <c r="F30" s="556"/>
      <c r="G30" s="32"/>
    </row>
    <row r="31" spans="1:11" ht="5.5" customHeight="1">
      <c r="A31" s="60"/>
      <c r="B31" s="34"/>
      <c r="C31" s="34"/>
      <c r="D31" s="34"/>
      <c r="E31" s="34"/>
      <c r="F31" s="58"/>
      <c r="G31" s="32"/>
    </row>
    <row r="32" spans="1:11" ht="13.9" customHeight="1">
      <c r="B32" s="558" t="s">
        <v>531</v>
      </c>
      <c r="C32" s="558"/>
      <c r="D32" s="558"/>
      <c r="E32" s="558"/>
      <c r="F32" s="558"/>
    </row>
    <row r="33" spans="2:6" ht="13.9" customHeight="1">
      <c r="B33" s="558"/>
      <c r="C33" s="558"/>
      <c r="D33" s="558"/>
      <c r="E33" s="558"/>
      <c r="F33" s="558"/>
    </row>
    <row r="34" spans="2:6" ht="13.9" customHeight="1">
      <c r="B34" s="558"/>
      <c r="C34" s="558"/>
      <c r="D34" s="558"/>
      <c r="E34" s="558"/>
      <c r="F34" s="558"/>
    </row>
    <row r="35" spans="2:6" ht="3" customHeight="1">
      <c r="B35" s="62"/>
      <c r="C35" s="62"/>
      <c r="D35" s="62"/>
      <c r="E35" s="62"/>
      <c r="F35" s="62"/>
    </row>
    <row r="36" spans="2:6" ht="12" customHeight="1">
      <c r="B36" s="34"/>
      <c r="C36" s="34"/>
      <c r="D36" s="34"/>
      <c r="E36" s="34"/>
      <c r="F36" s="58"/>
    </row>
    <row r="37" spans="2:6">
      <c r="B37" s="546" t="s">
        <v>58</v>
      </c>
      <c r="C37" s="546"/>
      <c r="D37" s="546"/>
      <c r="E37" s="34"/>
      <c r="F37" s="58"/>
    </row>
    <row r="38" spans="2:6" ht="1.9" customHeight="1">
      <c r="B38" s="302"/>
      <c r="C38" s="302"/>
      <c r="D38" s="302"/>
      <c r="E38" s="302"/>
      <c r="F38" s="302"/>
    </row>
    <row r="39" spans="2:6" ht="85.9" customHeight="1">
      <c r="B39" s="545" t="s">
        <v>59</v>
      </c>
      <c r="C39" s="545"/>
      <c r="D39" s="545"/>
      <c r="E39" s="545"/>
      <c r="F39" s="545"/>
    </row>
    <row r="40" spans="2:6" hidden="1">
      <c r="B40" s="556" t="s">
        <v>60</v>
      </c>
      <c r="C40" s="556"/>
      <c r="D40" s="556"/>
      <c r="E40" s="311"/>
      <c r="F40" s="311"/>
    </row>
    <row r="41" spans="2:6" ht="3" hidden="1" customHeight="1">
      <c r="B41" s="311"/>
      <c r="C41" s="311"/>
      <c r="D41" s="311"/>
      <c r="E41" s="311"/>
      <c r="F41" s="311"/>
    </row>
    <row r="42" spans="2:6" hidden="1">
      <c r="B42" s="550" t="s">
        <v>61</v>
      </c>
      <c r="C42" s="550"/>
      <c r="D42" s="550"/>
      <c r="E42" s="550"/>
      <c r="F42" s="550"/>
    </row>
    <row r="43" spans="2:6" ht="4.9000000000000004" hidden="1" customHeight="1"/>
    <row r="44" spans="2:6" ht="10.9" customHeight="1"/>
    <row r="45" spans="2:6">
      <c r="B45" s="63" t="s">
        <v>62</v>
      </c>
      <c r="C45" s="302"/>
      <c r="D45" s="302"/>
      <c r="E45" s="302"/>
      <c r="F45" s="302"/>
    </row>
    <row r="46" spans="2:6" ht="5.5" customHeight="1">
      <c r="B46" s="34"/>
      <c r="C46" s="34"/>
      <c r="D46" s="34"/>
      <c r="E46" s="34"/>
      <c r="F46" s="34"/>
    </row>
    <row r="47" spans="2:6">
      <c r="B47" s="550" t="s">
        <v>63</v>
      </c>
      <c r="C47" s="550"/>
      <c r="D47" s="550"/>
      <c r="E47" s="550"/>
      <c r="F47" s="550"/>
    </row>
    <row r="48" spans="2:6">
      <c r="B48" s="550"/>
      <c r="C48" s="550"/>
      <c r="D48" s="550"/>
      <c r="E48" s="550"/>
      <c r="F48" s="550"/>
    </row>
    <row r="49" spans="2:6" ht="6" customHeight="1">
      <c r="B49" s="299"/>
      <c r="C49" s="299"/>
      <c r="D49" s="299"/>
      <c r="E49" s="299"/>
      <c r="F49" s="299"/>
    </row>
    <row r="50" spans="2:6" ht="5.5" customHeight="1"/>
    <row r="51" spans="2:6">
      <c r="B51" s="556" t="s">
        <v>64</v>
      </c>
      <c r="C51" s="556"/>
      <c r="D51" s="556"/>
    </row>
    <row r="52" spans="2:6" ht="40.15" customHeight="1">
      <c r="B52" s="557" t="s">
        <v>532</v>
      </c>
      <c r="C52" s="557"/>
      <c r="D52" s="557"/>
      <c r="E52" s="557"/>
      <c r="F52" s="557"/>
    </row>
    <row r="53" spans="2:6">
      <c r="B53" s="61"/>
      <c r="C53" s="61"/>
      <c r="D53" s="61"/>
      <c r="E53" s="61"/>
      <c r="F53" s="61"/>
    </row>
    <row r="54" spans="2:6">
      <c r="B54" s="309" t="s">
        <v>65</v>
      </c>
    </row>
    <row r="55" spans="2:6" ht="6" customHeight="1"/>
    <row r="56" spans="2:6">
      <c r="B56" s="64" t="s">
        <v>66</v>
      </c>
      <c r="E56" s="64" t="s">
        <v>67</v>
      </c>
    </row>
  </sheetData>
  <mergeCells count="22">
    <mergeCell ref="B42:F42"/>
    <mergeCell ref="B47:F48"/>
    <mergeCell ref="B51:D51"/>
    <mergeCell ref="B52:F52"/>
    <mergeCell ref="B25:F25"/>
    <mergeCell ref="B30:F30"/>
    <mergeCell ref="B32:F34"/>
    <mergeCell ref="B37:D37"/>
    <mergeCell ref="B39:F39"/>
    <mergeCell ref="B40:D40"/>
    <mergeCell ref="B22:F22"/>
    <mergeCell ref="A1:F1"/>
    <mergeCell ref="A2:F2"/>
    <mergeCell ref="A3:F3"/>
    <mergeCell ref="B9:C9"/>
    <mergeCell ref="D9:E9"/>
    <mergeCell ref="D11:E11"/>
    <mergeCell ref="D12:E12"/>
    <mergeCell ref="D13:E13"/>
    <mergeCell ref="B15:E15"/>
    <mergeCell ref="B17:F17"/>
    <mergeCell ref="B20:F20"/>
  </mergeCells>
  <pageMargins left="0.7" right="0.7" top="0.75" bottom="0.75" header="0.3" footer="0.3"/>
  <pageSetup paperSize="9" orientation="portrait" r:id="rId1"/>
  <headerFooter>
    <oddFooter>&amp;C3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4C314-C0A6-4235-9FFC-C3257DA0F100}">
  <dimension ref="A1:N36"/>
  <sheetViews>
    <sheetView zoomScaleNormal="100" zoomScalePageLayoutView="94" workbookViewId="0">
      <selection activeCell="H10" sqref="H10"/>
    </sheetView>
  </sheetViews>
  <sheetFormatPr defaultColWidth="9.1796875" defaultRowHeight="15.5"/>
  <cols>
    <col min="1" max="1" width="17.453125" style="232" customWidth="1"/>
    <col min="2" max="2" width="9.26953125" style="232" customWidth="1"/>
    <col min="3" max="3" width="10.26953125" style="232" customWidth="1"/>
    <col min="4" max="5" width="7.81640625" style="303" customWidth="1"/>
    <col min="6" max="6" width="16.1796875" style="56" bestFit="1" customWidth="1"/>
    <col min="7" max="7" width="2.26953125" style="232" customWidth="1"/>
    <col min="8" max="8" width="16.1796875" style="269" bestFit="1" customWidth="1"/>
    <col min="9" max="9" width="12.81640625" style="232" bestFit="1" customWidth="1"/>
    <col min="10" max="10" width="9.1796875" style="232"/>
    <col min="11" max="11" width="17.54296875" style="232" bestFit="1" customWidth="1"/>
    <col min="12" max="12" width="13.7265625" style="232" bestFit="1" customWidth="1"/>
    <col min="13" max="13" width="19.54296875" style="313" customWidth="1"/>
    <col min="14" max="14" width="15.1796875" style="232" bestFit="1" customWidth="1"/>
    <col min="15" max="16384" width="9.1796875" style="232"/>
  </cols>
  <sheetData>
    <row r="1" spans="1:13" ht="18">
      <c r="A1" s="542" t="str">
        <f>+CONTENTS!A1</f>
        <v>MES CONTRACTING AND TRADING LTD</v>
      </c>
      <c r="B1" s="542"/>
      <c r="C1" s="542"/>
      <c r="D1" s="542"/>
      <c r="E1" s="542"/>
      <c r="F1" s="542"/>
      <c r="G1" s="542"/>
      <c r="H1" s="542"/>
      <c r="I1" s="312"/>
      <c r="J1" s="312"/>
    </row>
    <row r="2" spans="1:13">
      <c r="A2" s="543" t="s">
        <v>68</v>
      </c>
      <c r="B2" s="543"/>
      <c r="C2" s="543"/>
      <c r="D2" s="543"/>
      <c r="E2" s="543"/>
      <c r="F2" s="543"/>
      <c r="G2" s="543"/>
      <c r="H2" s="543"/>
      <c r="I2" s="56"/>
      <c r="J2" s="56"/>
    </row>
    <row r="3" spans="1:13">
      <c r="A3" s="543" t="str">
        <f>+CONTENTS!B3</f>
        <v>FOR THE YEAR ENDED 31 DECEMBER 2023</v>
      </c>
      <c r="B3" s="543"/>
      <c r="C3" s="543"/>
      <c r="D3" s="543"/>
      <c r="E3" s="543"/>
      <c r="F3" s="543"/>
      <c r="G3" s="543"/>
      <c r="H3" s="543"/>
      <c r="I3" s="56"/>
      <c r="J3" s="56"/>
    </row>
    <row r="4" spans="1:13">
      <c r="A4" s="32"/>
      <c r="B4" s="32"/>
      <c r="C4" s="32"/>
      <c r="D4" s="306"/>
      <c r="E4" s="306"/>
      <c r="F4" s="32"/>
      <c r="G4" s="57"/>
      <c r="H4" s="32"/>
      <c r="I4" s="314"/>
      <c r="J4" s="314"/>
    </row>
    <row r="5" spans="1:13">
      <c r="A5" s="32"/>
      <c r="B5" s="32"/>
      <c r="C5" s="32"/>
      <c r="D5" s="306" t="s">
        <v>69</v>
      </c>
      <c r="E5" s="306"/>
      <c r="F5" s="92">
        <v>2022</v>
      </c>
      <c r="G5" s="305"/>
      <c r="H5" s="92">
        <v>2021</v>
      </c>
      <c r="L5" s="92"/>
    </row>
    <row r="6" spans="1:13">
      <c r="A6" s="32"/>
      <c r="B6" s="32"/>
      <c r="C6" s="32"/>
      <c r="D6" s="306"/>
      <c r="E6" s="306"/>
      <c r="F6" s="92" t="s">
        <v>34</v>
      </c>
      <c r="G6" s="305"/>
      <c r="H6" s="92" t="s">
        <v>34</v>
      </c>
      <c r="L6" s="92"/>
    </row>
    <row r="7" spans="1:13" ht="6" customHeight="1">
      <c r="A7" s="32"/>
      <c r="B7" s="32"/>
      <c r="C7" s="32"/>
      <c r="D7" s="306"/>
      <c r="E7" s="306"/>
      <c r="F7" s="57"/>
      <c r="G7" s="32"/>
      <c r="H7" s="32"/>
      <c r="L7" s="158"/>
    </row>
    <row r="8" spans="1:13">
      <c r="A8" s="32" t="s">
        <v>70</v>
      </c>
      <c r="B8" s="32"/>
      <c r="C8" s="32"/>
      <c r="D8" s="306">
        <v>3</v>
      </c>
      <c r="E8" s="305"/>
      <c r="F8" s="99">
        <f>'N 3-5'!H13</f>
        <v>18238665.580159433</v>
      </c>
      <c r="G8" s="32"/>
      <c r="H8" s="315">
        <f>+'N 3-5'!J13</f>
        <v>3817773.16</v>
      </c>
      <c r="K8" s="316"/>
      <c r="L8" s="158"/>
    </row>
    <row r="9" spans="1:13">
      <c r="A9" s="32"/>
      <c r="B9" s="32"/>
      <c r="C9" s="32"/>
      <c r="D9" s="306"/>
      <c r="E9" s="306"/>
      <c r="F9" s="57"/>
      <c r="G9" s="32"/>
      <c r="H9" s="32"/>
      <c r="K9" s="316"/>
      <c r="L9" s="158"/>
    </row>
    <row r="10" spans="1:13">
      <c r="A10" s="32" t="s">
        <v>71</v>
      </c>
      <c r="B10" s="32"/>
      <c r="C10" s="32"/>
      <c r="D10" s="306">
        <v>4</v>
      </c>
      <c r="E10" s="305"/>
      <c r="F10" s="66">
        <f>-'N 3-5'!H33</f>
        <v>-16360641.407391302</v>
      </c>
      <c r="G10" s="66"/>
      <c r="H10" s="67">
        <f>-'N 3-5'!J33</f>
        <v>-3333283</v>
      </c>
      <c r="K10" s="316"/>
      <c r="L10" s="158"/>
    </row>
    <row r="11" spans="1:13" ht="3" customHeight="1">
      <c r="A11" s="32"/>
      <c r="B11" s="32"/>
      <c r="C11" s="32"/>
      <c r="D11" s="306"/>
      <c r="E11" s="305"/>
      <c r="F11" s="317"/>
      <c r="G11" s="32"/>
      <c r="H11" s="318"/>
      <c r="K11" s="316"/>
      <c r="L11" s="158"/>
    </row>
    <row r="12" spans="1:13" ht="7.5" customHeight="1">
      <c r="A12" s="32"/>
      <c r="B12" s="32"/>
      <c r="C12" s="32"/>
      <c r="D12" s="306"/>
      <c r="E12" s="305"/>
      <c r="F12" s="319"/>
      <c r="G12" s="32"/>
      <c r="H12" s="54"/>
      <c r="K12" s="316"/>
      <c r="L12" s="158"/>
      <c r="M12" s="320"/>
    </row>
    <row r="13" spans="1:13">
      <c r="A13" s="57" t="s">
        <v>72</v>
      </c>
      <c r="B13" s="32"/>
      <c r="C13" s="32"/>
      <c r="D13" s="306"/>
      <c r="E13" s="306"/>
      <c r="F13" s="99">
        <f>F8+F10</f>
        <v>1878024.1727681309</v>
      </c>
      <c r="G13" s="32"/>
      <c r="H13" s="100">
        <f>H8+H10</f>
        <v>484490.16000000015</v>
      </c>
      <c r="K13" s="316"/>
      <c r="L13" s="158"/>
    </row>
    <row r="14" spans="1:13">
      <c r="A14" s="32"/>
      <c r="B14" s="32"/>
      <c r="C14" s="32"/>
      <c r="D14" s="306"/>
      <c r="E14" s="306"/>
      <c r="F14" s="57"/>
      <c r="G14" s="32"/>
      <c r="H14" s="32"/>
      <c r="K14" s="316"/>
      <c r="L14" s="158"/>
    </row>
    <row r="15" spans="1:13">
      <c r="A15" s="32" t="s">
        <v>73</v>
      </c>
      <c r="B15" s="32"/>
      <c r="C15" s="32"/>
      <c r="D15" s="306"/>
      <c r="E15" s="305"/>
      <c r="F15" s="66">
        <f>-'P &amp; L SCH'!G33</f>
        <v>-1471298.1856</v>
      </c>
      <c r="G15" s="32"/>
      <c r="H15" s="47">
        <f>-'P &amp; L SCH'!I33</f>
        <v>-370830.08380000002</v>
      </c>
      <c r="K15" s="316"/>
      <c r="L15" s="158"/>
    </row>
    <row r="16" spans="1:13" ht="6.75" customHeight="1">
      <c r="A16" s="32"/>
      <c r="B16" s="32"/>
      <c r="C16" s="32"/>
      <c r="D16" s="306"/>
      <c r="E16" s="305"/>
      <c r="F16" s="321"/>
      <c r="G16" s="32"/>
      <c r="H16" s="322"/>
      <c r="K16" s="316"/>
      <c r="L16" s="158"/>
    </row>
    <row r="17" spans="1:13" ht="7.5" customHeight="1">
      <c r="A17" s="32"/>
      <c r="B17" s="32"/>
      <c r="C17" s="32"/>
      <c r="D17" s="306"/>
      <c r="E17" s="305"/>
      <c r="F17" s="66"/>
      <c r="G17" s="32"/>
      <c r="H17" s="67"/>
      <c r="K17" s="316"/>
      <c r="L17" s="158"/>
    </row>
    <row r="18" spans="1:13">
      <c r="A18" s="57" t="s">
        <v>74</v>
      </c>
      <c r="B18" s="32"/>
      <c r="C18" s="32"/>
      <c r="D18" s="306"/>
      <c r="E18" s="306"/>
      <c r="F18" s="66">
        <f>+F13+F15</f>
        <v>406725.98716813093</v>
      </c>
      <c r="G18" s="32"/>
      <c r="H18" s="47">
        <f>+H13+H15</f>
        <v>113660.07620000013</v>
      </c>
      <c r="K18" s="316"/>
      <c r="L18" s="158"/>
    </row>
    <row r="19" spans="1:13">
      <c r="A19" s="32"/>
      <c r="B19" s="32"/>
      <c r="C19" s="32"/>
      <c r="D19" s="306"/>
      <c r="E19" s="32"/>
      <c r="F19" s="57"/>
      <c r="G19" s="32"/>
      <c r="H19" s="32"/>
      <c r="K19" s="316"/>
      <c r="L19" s="158"/>
    </row>
    <row r="20" spans="1:13">
      <c r="A20" s="32" t="s">
        <v>75</v>
      </c>
      <c r="B20" s="32"/>
      <c r="C20" s="32"/>
      <c r="D20" s="306">
        <v>4.0999999999999996</v>
      </c>
      <c r="E20" s="32"/>
      <c r="F20" s="507">
        <f>'N 3-5'!H40</f>
        <v>0</v>
      </c>
      <c r="G20" s="32"/>
      <c r="H20" s="323">
        <f>'N 3-5'!J40</f>
        <v>0</v>
      </c>
      <c r="K20" s="316"/>
      <c r="L20" s="158"/>
    </row>
    <row r="21" spans="1:13" ht="6.65" customHeight="1">
      <c r="A21" s="32"/>
      <c r="B21" s="32"/>
      <c r="C21" s="32"/>
      <c r="D21" s="306"/>
      <c r="E21" s="32"/>
      <c r="F21" s="57"/>
      <c r="G21" s="32"/>
      <c r="H21" s="32"/>
      <c r="K21" s="316"/>
      <c r="L21" s="158"/>
    </row>
    <row r="22" spans="1:13" ht="2.25" customHeight="1">
      <c r="A22" s="32"/>
      <c r="B22" s="32"/>
      <c r="C22" s="32"/>
      <c r="D22" s="306"/>
      <c r="E22" s="32"/>
      <c r="F22" s="321"/>
      <c r="G22" s="32"/>
      <c r="H22" s="322"/>
      <c r="K22" s="316"/>
      <c r="L22" s="158"/>
    </row>
    <row r="23" spans="1:13" ht="5.25" customHeight="1">
      <c r="A23" s="32"/>
      <c r="B23" s="32"/>
      <c r="C23" s="32"/>
      <c r="D23" s="306"/>
      <c r="E23" s="32"/>
      <c r="F23" s="66"/>
      <c r="G23" s="32"/>
      <c r="H23" s="67"/>
      <c r="K23" s="316"/>
      <c r="L23" s="158"/>
    </row>
    <row r="24" spans="1:13">
      <c r="A24" s="57" t="s">
        <v>451</v>
      </c>
      <c r="B24" s="32"/>
      <c r="C24" s="32"/>
      <c r="D24" s="306"/>
      <c r="E24" s="32"/>
      <c r="F24" s="66">
        <f>+F18+F20</f>
        <v>406725.98716813093</v>
      </c>
      <c r="G24" s="32"/>
      <c r="H24" s="47">
        <f>+H18+H20</f>
        <v>113660.07620000013</v>
      </c>
      <c r="K24" s="316"/>
      <c r="L24" s="67"/>
      <c r="M24" s="324"/>
    </row>
    <row r="25" spans="1:13">
      <c r="A25" s="32"/>
      <c r="B25" s="32"/>
      <c r="C25" s="32"/>
      <c r="D25" s="306"/>
      <c r="E25" s="32"/>
      <c r="F25" s="57"/>
      <c r="G25" s="32"/>
      <c r="H25" s="32"/>
      <c r="K25" s="316"/>
      <c r="L25" s="325"/>
      <c r="M25" s="324"/>
    </row>
    <row r="26" spans="1:13">
      <c r="A26" s="32" t="s">
        <v>452</v>
      </c>
      <c r="B26" s="32"/>
      <c r="C26" s="32"/>
      <c r="D26" s="306"/>
      <c r="E26" s="32"/>
      <c r="F26" s="326"/>
      <c r="G26" s="32"/>
      <c r="H26" s="120"/>
      <c r="K26" s="316"/>
      <c r="L26" s="325"/>
      <c r="M26" s="324"/>
    </row>
    <row r="27" spans="1:13">
      <c r="A27" s="32"/>
      <c r="B27" s="32"/>
      <c r="C27" s="32"/>
      <c r="D27" s="306"/>
      <c r="E27" s="32"/>
      <c r="F27" s="57"/>
      <c r="G27" s="32"/>
      <c r="H27" s="32"/>
      <c r="K27" s="316"/>
      <c r="L27" s="325"/>
      <c r="M27" s="324"/>
    </row>
    <row r="28" spans="1:13">
      <c r="A28" s="32" t="s">
        <v>453</v>
      </c>
      <c r="B28" s="32"/>
      <c r="C28" s="32"/>
      <c r="D28" s="306"/>
      <c r="E28" s="32"/>
      <c r="F28" s="327">
        <f>F24+F26</f>
        <v>406725.98716813093</v>
      </c>
      <c r="G28" s="32"/>
      <c r="H28" s="328">
        <f>H24+H26</f>
        <v>113660.07620000013</v>
      </c>
      <c r="K28" s="316"/>
      <c r="L28" s="325"/>
      <c r="M28" s="324"/>
    </row>
    <row r="29" spans="1:13">
      <c r="A29" s="32"/>
      <c r="B29" s="32"/>
      <c r="C29" s="32"/>
      <c r="D29" s="306"/>
      <c r="E29" s="32"/>
      <c r="F29" s="57"/>
      <c r="G29" s="32"/>
      <c r="H29" s="32"/>
      <c r="K29" s="316"/>
      <c r="L29" s="325"/>
      <c r="M29" s="324"/>
    </row>
    <row r="30" spans="1:13">
      <c r="A30" s="32" t="s">
        <v>76</v>
      </c>
      <c r="B30" s="32"/>
      <c r="C30" s="32"/>
      <c r="D30" s="306">
        <v>5.0999999999999996</v>
      </c>
      <c r="E30" s="32"/>
      <c r="F30" s="329">
        <f>-'N 3-5'!H44</f>
        <v>-95575.628192032746</v>
      </c>
      <c r="G30" s="120"/>
      <c r="H30" s="330">
        <v>-28579.4330499998</v>
      </c>
      <c r="K30" s="316"/>
      <c r="L30" s="325"/>
      <c r="M30" s="324"/>
    </row>
    <row r="31" spans="1:13">
      <c r="A31" s="32"/>
      <c r="B31" s="32"/>
      <c r="C31" s="32"/>
      <c r="D31" s="306"/>
      <c r="E31" s="32"/>
      <c r="F31" s="331"/>
      <c r="G31" s="32"/>
      <c r="H31" s="332"/>
      <c r="K31" s="316"/>
      <c r="L31" s="325"/>
      <c r="M31" s="324"/>
    </row>
    <row r="32" spans="1:13">
      <c r="A32" s="32"/>
      <c r="B32" s="32"/>
      <c r="C32" s="32"/>
      <c r="D32" s="306"/>
      <c r="E32" s="305"/>
      <c r="F32" s="327"/>
      <c r="G32" s="32"/>
      <c r="H32" s="328"/>
      <c r="K32" s="316"/>
      <c r="L32" s="325"/>
      <c r="M32" s="324"/>
    </row>
    <row r="33" spans="1:14">
      <c r="A33" s="57" t="s">
        <v>77</v>
      </c>
      <c r="B33" s="32"/>
      <c r="C33" s="32"/>
      <c r="D33" s="306"/>
      <c r="E33" s="306"/>
      <c r="F33" s="66">
        <f>F28+F30</f>
        <v>311150.35897609818</v>
      </c>
      <c r="G33" s="32"/>
      <c r="H33" s="67">
        <f>H28+H30</f>
        <v>85080.643150000324</v>
      </c>
      <c r="K33" s="316"/>
      <c r="L33" s="67"/>
      <c r="M33" s="324"/>
      <c r="N33" s="235"/>
    </row>
    <row r="34" spans="1:14" ht="7.9" customHeight="1" thickBot="1">
      <c r="A34" s="57"/>
      <c r="B34" s="32"/>
      <c r="C34" s="32"/>
      <c r="D34" s="306"/>
      <c r="E34" s="306"/>
      <c r="F34" s="333"/>
      <c r="G34" s="32"/>
      <c r="H34" s="334"/>
      <c r="L34" s="158"/>
    </row>
    <row r="35" spans="1:14" ht="16" thickTop="1">
      <c r="F35" s="335"/>
      <c r="G35" s="336"/>
      <c r="H35" s="336"/>
      <c r="L35" s="337"/>
    </row>
    <row r="36" spans="1:14">
      <c r="F36" s="338"/>
      <c r="H36" s="339"/>
      <c r="K36" s="313"/>
    </row>
  </sheetData>
  <mergeCells count="3">
    <mergeCell ref="A1:H1"/>
    <mergeCell ref="A2:H2"/>
    <mergeCell ref="A3:H3"/>
  </mergeCells>
  <printOptions horizontalCentered="1"/>
  <pageMargins left="0.86" right="0.42" top="0.81666666666666698" bottom="0.75" header="0.3" footer="0.3"/>
  <pageSetup paperSize="9" orientation="portrait" r:id="rId1"/>
  <headerFooter>
    <oddFooter>&amp;C7</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EC59E-CE56-4AAF-AD39-D3DE543BA8C0}">
  <dimension ref="B1:M71"/>
  <sheetViews>
    <sheetView topLeftCell="B14" zoomScale="96" zoomScaleNormal="96" workbookViewId="0">
      <selection activeCell="G32" sqref="G32"/>
    </sheetView>
  </sheetViews>
  <sheetFormatPr defaultColWidth="9.1796875" defaultRowHeight="15.5"/>
  <cols>
    <col min="1" max="1" width="2" style="232" customWidth="1"/>
    <col min="2" max="2" width="9.1796875" style="232"/>
    <col min="3" max="3" width="12.54296875" style="232" customWidth="1"/>
    <col min="4" max="4" width="14.54296875" style="232" customWidth="1"/>
    <col min="5" max="5" width="9" style="303" customWidth="1"/>
    <col min="6" max="6" width="5.1796875" style="363" customWidth="1"/>
    <col min="7" max="7" width="13.7265625" style="56" customWidth="1"/>
    <col min="8" max="8" width="2.26953125" style="232" customWidth="1"/>
    <col min="9" max="9" width="14" style="373" customWidth="1"/>
    <col min="10" max="10" width="14.54296875" style="371" customWidth="1"/>
    <col min="11" max="11" width="15" style="341" bestFit="1" customWidth="1"/>
    <col min="12" max="12" width="15.54296875" style="341" bestFit="1" customWidth="1"/>
    <col min="13" max="13" width="9.1796875" style="341"/>
    <col min="14" max="16384" width="9.1796875" style="232"/>
  </cols>
  <sheetData>
    <row r="1" spans="2:12" ht="18">
      <c r="B1" s="542" t="str">
        <f>+CONTENTS!A1</f>
        <v>MES CONTRACTING AND TRADING LTD</v>
      </c>
      <c r="C1" s="542"/>
      <c r="D1" s="542"/>
      <c r="E1" s="542"/>
      <c r="F1" s="542"/>
      <c r="G1" s="542"/>
      <c r="H1" s="542"/>
      <c r="I1" s="542"/>
      <c r="J1" s="340"/>
    </row>
    <row r="2" spans="2:12">
      <c r="B2" s="543" t="s">
        <v>15</v>
      </c>
      <c r="C2" s="543"/>
      <c r="D2" s="543"/>
      <c r="E2" s="543"/>
      <c r="F2" s="543"/>
      <c r="G2" s="543"/>
      <c r="H2" s="543"/>
      <c r="I2" s="543"/>
      <c r="J2" s="342"/>
    </row>
    <row r="3" spans="2:12">
      <c r="B3" s="543" t="s">
        <v>513</v>
      </c>
      <c r="C3" s="543"/>
      <c r="D3" s="543"/>
      <c r="E3" s="543"/>
      <c r="F3" s="543"/>
      <c r="G3" s="543"/>
      <c r="H3" s="543"/>
      <c r="I3" s="543"/>
      <c r="J3" s="342"/>
    </row>
    <row r="4" spans="2:12" ht="10.5" customHeight="1">
      <c r="B4" s="32"/>
      <c r="C4" s="32"/>
      <c r="D4" s="32"/>
      <c r="E4" s="306"/>
      <c r="F4" s="305"/>
      <c r="G4" s="57"/>
      <c r="H4" s="32"/>
      <c r="I4" s="343"/>
      <c r="J4" s="344"/>
    </row>
    <row r="5" spans="2:12">
      <c r="B5" s="57"/>
      <c r="C5" s="57"/>
      <c r="D5" s="57"/>
      <c r="E5" s="306" t="s">
        <v>78</v>
      </c>
      <c r="F5" s="306"/>
      <c r="G5" s="92">
        <v>2023</v>
      </c>
      <c r="H5" s="92"/>
      <c r="I5" s="97">
        <v>2022</v>
      </c>
      <c r="J5" s="345"/>
      <c r="L5" s="346"/>
    </row>
    <row r="6" spans="2:12" ht="18" customHeight="1">
      <c r="B6" s="57"/>
      <c r="C6" s="57"/>
      <c r="D6" s="57"/>
      <c r="E6" s="306"/>
      <c r="F6" s="306"/>
      <c r="G6" s="92" t="s">
        <v>34</v>
      </c>
      <c r="H6" s="57"/>
      <c r="I6" s="97" t="s">
        <v>34</v>
      </c>
      <c r="J6" s="347"/>
      <c r="L6" s="348"/>
    </row>
    <row r="7" spans="2:12">
      <c r="B7" s="57" t="s">
        <v>79</v>
      </c>
      <c r="C7" s="57"/>
      <c r="D7" s="57"/>
      <c r="E7" s="306"/>
      <c r="F7" s="306"/>
      <c r="G7" s="57"/>
      <c r="H7" s="57"/>
      <c r="I7" s="97"/>
      <c r="J7" s="349"/>
      <c r="L7" s="350"/>
    </row>
    <row r="8" spans="2:12" ht="6.65" customHeight="1">
      <c r="B8" s="57"/>
      <c r="C8" s="57"/>
      <c r="D8" s="57"/>
      <c r="E8" s="306"/>
      <c r="F8" s="306"/>
      <c r="G8" s="57"/>
      <c r="H8" s="57"/>
      <c r="I8" s="97"/>
      <c r="J8" s="349"/>
      <c r="L8" s="350"/>
    </row>
    <row r="9" spans="2:12">
      <c r="B9" s="32" t="s">
        <v>80</v>
      </c>
      <c r="C9" s="57"/>
      <c r="D9" s="57"/>
      <c r="E9" s="65">
        <v>6</v>
      </c>
      <c r="F9" s="351"/>
      <c r="G9" s="352">
        <f>+N6A!L58</f>
        <v>5252527.5424000006</v>
      </c>
      <c r="H9" s="352"/>
      <c r="I9" s="353">
        <f>+N6A!H58</f>
        <v>69559.428000000014</v>
      </c>
      <c r="J9" s="354"/>
      <c r="K9" s="355"/>
      <c r="L9" s="355"/>
    </row>
    <row r="10" spans="2:12" ht="6" customHeight="1">
      <c r="B10" s="32"/>
      <c r="C10" s="57"/>
      <c r="D10" s="57"/>
      <c r="E10" s="65"/>
      <c r="F10" s="351"/>
      <c r="G10" s="356"/>
      <c r="H10" s="104"/>
      <c r="I10" s="357"/>
      <c r="J10" s="354"/>
      <c r="L10" s="358"/>
    </row>
    <row r="11" spans="2:12">
      <c r="B11" s="57"/>
      <c r="C11" s="57"/>
      <c r="D11" s="32"/>
      <c r="E11" s="57"/>
      <c r="F11" s="32"/>
      <c r="G11" s="104">
        <f>SUM(G9:G9)</f>
        <v>5252527.5424000006</v>
      </c>
      <c r="H11" s="105"/>
      <c r="I11" s="359">
        <f>+I9</f>
        <v>69559.428000000014</v>
      </c>
      <c r="J11" s="354"/>
      <c r="L11" s="350"/>
    </row>
    <row r="12" spans="2:12" ht="6" customHeight="1">
      <c r="B12" s="57"/>
      <c r="C12" s="57"/>
      <c r="D12" s="32"/>
      <c r="E12" s="57"/>
      <c r="F12" s="32"/>
      <c r="G12" s="360"/>
      <c r="H12" s="104"/>
      <c r="I12" s="361"/>
      <c r="J12" s="354"/>
      <c r="L12" s="350"/>
    </row>
    <row r="13" spans="2:12" ht="11.25" customHeight="1">
      <c r="B13" s="57"/>
      <c r="C13" s="57"/>
      <c r="D13" s="32"/>
      <c r="E13" s="57"/>
      <c r="F13" s="32"/>
      <c r="G13" s="352"/>
      <c r="H13" s="104"/>
      <c r="I13" s="353"/>
      <c r="J13" s="354"/>
      <c r="L13" s="350"/>
    </row>
    <row r="14" spans="2:12">
      <c r="B14" s="57" t="s">
        <v>81</v>
      </c>
      <c r="C14" s="57"/>
      <c r="D14" s="32"/>
      <c r="E14" s="57"/>
      <c r="F14" s="32"/>
      <c r="G14" s="331"/>
      <c r="H14" s="480"/>
      <c r="I14" s="343"/>
      <c r="J14" s="354"/>
      <c r="L14" s="350"/>
    </row>
    <row r="15" spans="2:12" ht="5.5" customHeight="1">
      <c r="B15" s="57"/>
      <c r="C15" s="57"/>
      <c r="D15" s="32"/>
      <c r="E15" s="57"/>
      <c r="F15" s="32"/>
      <c r="G15" s="331"/>
      <c r="H15" s="480"/>
      <c r="I15" s="343"/>
      <c r="J15" s="354"/>
      <c r="L15" s="350"/>
    </row>
    <row r="16" spans="2:12">
      <c r="B16" s="32" t="s">
        <v>82</v>
      </c>
      <c r="C16" s="57"/>
      <c r="D16" s="57"/>
      <c r="E16" s="65">
        <v>7</v>
      </c>
      <c r="F16" s="351"/>
      <c r="G16" s="331">
        <f>'N 3-5'!H31</f>
        <v>6609000</v>
      </c>
      <c r="H16" s="331"/>
      <c r="I16" s="343">
        <f>+'N7-11'!J12</f>
        <v>1320700</v>
      </c>
      <c r="J16" s="354"/>
      <c r="K16" s="362"/>
      <c r="L16" s="350"/>
    </row>
    <row r="17" spans="2:12">
      <c r="B17" s="32" t="s">
        <v>83</v>
      </c>
      <c r="C17" s="57"/>
      <c r="D17" s="57"/>
      <c r="E17" s="306">
        <v>8</v>
      </c>
      <c r="F17" s="305"/>
      <c r="G17" s="331">
        <f>+'N7-11'!H21</f>
        <v>468734.37258478068</v>
      </c>
      <c r="H17" s="331"/>
      <c r="I17" s="343">
        <f>+'N7-11'!J21</f>
        <v>120900</v>
      </c>
      <c r="J17" s="354"/>
      <c r="K17" s="362"/>
      <c r="L17" s="358"/>
    </row>
    <row r="18" spans="2:12">
      <c r="B18" s="32" t="s">
        <v>236</v>
      </c>
      <c r="C18" s="57"/>
      <c r="D18" s="57"/>
      <c r="E18" s="306">
        <v>5.2</v>
      </c>
      <c r="F18" s="305"/>
      <c r="G18" s="331">
        <f>'N 3-5'!J55*-1</f>
        <v>499038.2638579671</v>
      </c>
      <c r="H18" s="331"/>
      <c r="I18" s="573">
        <v>67270.936950000207</v>
      </c>
      <c r="J18" s="354"/>
      <c r="K18" s="362"/>
      <c r="L18" s="358"/>
    </row>
    <row r="19" spans="2:12">
      <c r="B19" s="32" t="s">
        <v>84</v>
      </c>
      <c r="C19" s="57"/>
      <c r="D19" s="57"/>
      <c r="E19" s="306">
        <v>9</v>
      </c>
      <c r="F19" s="305"/>
      <c r="G19" s="480">
        <f>+'N7-11'!H42</f>
        <v>4199145.16</v>
      </c>
      <c r="H19" s="480"/>
      <c r="I19" s="350">
        <f>+'N7-11'!J42</f>
        <v>25248</v>
      </c>
      <c r="J19" s="354"/>
      <c r="K19" s="362"/>
      <c r="L19" s="350"/>
    </row>
    <row r="20" spans="2:12" ht="6.65" customHeight="1">
      <c r="B20" s="32"/>
      <c r="C20" s="57"/>
      <c r="D20" s="57"/>
      <c r="E20" s="306"/>
      <c r="F20" s="305"/>
      <c r="G20" s="568"/>
      <c r="H20" s="480"/>
      <c r="I20" s="569"/>
      <c r="J20" s="354"/>
      <c r="K20" s="362"/>
      <c r="L20" s="350"/>
    </row>
    <row r="21" spans="2:12" ht="5.5" customHeight="1">
      <c r="B21" s="32"/>
      <c r="C21" s="57"/>
      <c r="D21" s="57"/>
      <c r="E21" s="306"/>
      <c r="F21" s="305"/>
      <c r="G21" s="480"/>
      <c r="H21" s="480"/>
      <c r="I21" s="495"/>
      <c r="J21" s="354"/>
      <c r="K21" s="362"/>
      <c r="L21" s="350"/>
    </row>
    <row r="22" spans="2:12">
      <c r="B22" s="57"/>
      <c r="C22" s="57"/>
      <c r="D22" s="57"/>
      <c r="E22" s="306"/>
      <c r="F22" s="306"/>
      <c r="G22" s="480">
        <f>SUM(G16:G19)</f>
        <v>11775917.796442747</v>
      </c>
      <c r="H22" s="480"/>
      <c r="I22" s="350">
        <f>SUM(I16:I19)</f>
        <v>1534118.9369500002</v>
      </c>
      <c r="J22" s="354"/>
      <c r="K22" s="362"/>
      <c r="L22" s="350"/>
    </row>
    <row r="23" spans="2:12" ht="6.65" customHeight="1">
      <c r="B23" s="57"/>
      <c r="C23" s="57"/>
      <c r="D23" s="57"/>
      <c r="E23" s="306"/>
      <c r="F23" s="306"/>
      <c r="G23" s="568"/>
      <c r="H23" s="480"/>
      <c r="I23" s="569"/>
      <c r="J23" s="354"/>
      <c r="K23" s="362"/>
      <c r="L23" s="350"/>
    </row>
    <row r="24" spans="2:12">
      <c r="B24" s="57" t="s">
        <v>85</v>
      </c>
      <c r="C24" s="57"/>
      <c r="D24" s="57"/>
      <c r="E24" s="306"/>
      <c r="F24" s="306"/>
      <c r="G24" s="480">
        <f>G11+G22</f>
        <v>17028445.33884275</v>
      </c>
      <c r="H24" s="480"/>
      <c r="I24" s="495">
        <f>+I11+I22</f>
        <v>1603678.3649500003</v>
      </c>
      <c r="J24" s="354"/>
      <c r="K24" s="362"/>
      <c r="L24" s="350"/>
    </row>
    <row r="25" spans="2:12" ht="7.15" customHeight="1" thickBot="1">
      <c r="B25" s="57"/>
      <c r="C25" s="57"/>
      <c r="D25" s="57"/>
      <c r="E25" s="306"/>
      <c r="F25" s="306"/>
      <c r="G25" s="503"/>
      <c r="H25" s="480"/>
      <c r="I25" s="570"/>
      <c r="J25" s="354"/>
      <c r="K25" s="362"/>
      <c r="L25" s="350"/>
    </row>
    <row r="26" spans="2:12" ht="13.5" customHeight="1" thickTop="1">
      <c r="B26" s="57"/>
      <c r="C26" s="57"/>
      <c r="D26" s="57"/>
      <c r="E26" s="306"/>
      <c r="F26" s="306"/>
      <c r="G26" s="480"/>
      <c r="H26" s="480"/>
      <c r="I26" s="495"/>
      <c r="J26" s="354"/>
      <c r="K26" s="362"/>
      <c r="L26" s="350"/>
    </row>
    <row r="27" spans="2:12">
      <c r="B27" s="57" t="s">
        <v>86</v>
      </c>
      <c r="C27" s="57"/>
      <c r="D27" s="57"/>
      <c r="E27" s="306"/>
      <c r="F27" s="306"/>
      <c r="G27" s="480"/>
      <c r="H27" s="480"/>
      <c r="I27" s="495"/>
      <c r="J27" s="354"/>
      <c r="K27" s="362"/>
      <c r="L27" s="350"/>
    </row>
    <row r="28" spans="2:12" ht="3.65" customHeight="1">
      <c r="B28" s="57"/>
      <c r="C28" s="57"/>
      <c r="D28" s="57"/>
      <c r="E28" s="306"/>
      <c r="F28" s="306"/>
      <c r="G28" s="480"/>
      <c r="H28" s="480"/>
      <c r="I28" s="495"/>
      <c r="J28" s="354"/>
      <c r="K28" s="362"/>
      <c r="L28" s="350"/>
    </row>
    <row r="29" spans="2:12">
      <c r="B29" s="57" t="s">
        <v>87</v>
      </c>
      <c r="C29" s="57"/>
      <c r="D29" s="57"/>
      <c r="E29" s="306"/>
      <c r="F29" s="306"/>
      <c r="G29" s="480"/>
      <c r="H29" s="480"/>
      <c r="I29" s="495"/>
      <c r="J29" s="354"/>
      <c r="K29" s="362"/>
      <c r="L29" s="350"/>
    </row>
    <row r="30" spans="2:12" hidden="1">
      <c r="B30" s="32" t="s">
        <v>527</v>
      </c>
      <c r="C30" s="57"/>
      <c r="D30" s="57"/>
      <c r="E30" s="306">
        <v>9.1</v>
      </c>
      <c r="F30" s="306"/>
      <c r="G30" s="480">
        <f>'N7-11'!H46</f>
        <v>0</v>
      </c>
      <c r="H30" s="480"/>
      <c r="I30" s="495"/>
      <c r="J30" s="354"/>
      <c r="K30" s="362"/>
      <c r="L30" s="350"/>
    </row>
    <row r="31" spans="2:12">
      <c r="B31" s="32" t="s">
        <v>88</v>
      </c>
      <c r="C31" s="32"/>
      <c r="D31" s="32"/>
      <c r="E31" s="306">
        <v>10</v>
      </c>
      <c r="F31" s="305"/>
      <c r="G31" s="331">
        <v>14732870.602858685</v>
      </c>
      <c r="H31" s="349"/>
      <c r="I31" s="343">
        <f>+'N7-11'!J55</f>
        <v>560870</v>
      </c>
      <c r="J31" s="354"/>
      <c r="K31" s="362"/>
      <c r="L31" s="350"/>
    </row>
    <row r="32" spans="2:12">
      <c r="B32" s="32" t="s">
        <v>89</v>
      </c>
      <c r="C32" s="32"/>
      <c r="D32" s="32"/>
      <c r="E32" s="306">
        <v>5.2</v>
      </c>
      <c r="F32" s="305"/>
      <c r="G32" s="329">
        <f>-+'N 3-5'!J58</f>
        <v>499038.2638579671</v>
      </c>
      <c r="H32" s="349"/>
      <c r="I32" s="505">
        <f>+'N 3-5'!D58</f>
        <v>0</v>
      </c>
      <c r="J32" s="354"/>
      <c r="K32" s="362"/>
      <c r="L32" s="350"/>
    </row>
    <row r="33" spans="2:12">
      <c r="B33" s="32" t="s">
        <v>456</v>
      </c>
      <c r="C33" s="32"/>
      <c r="D33" s="32"/>
      <c r="E33" s="306"/>
      <c r="F33" s="305"/>
      <c r="G33" s="329"/>
      <c r="H33" s="349"/>
      <c r="I33" s="505">
        <v>0</v>
      </c>
      <c r="J33" s="354">
        <f>G24-G58</f>
        <v>0</v>
      </c>
      <c r="K33" s="362"/>
      <c r="L33" s="350"/>
    </row>
    <row r="34" spans="2:12" hidden="1">
      <c r="B34" s="32" t="s">
        <v>60</v>
      </c>
      <c r="C34" s="32"/>
      <c r="D34" s="32"/>
      <c r="E34" s="306"/>
      <c r="F34" s="305"/>
      <c r="G34" s="329"/>
      <c r="H34" s="349"/>
      <c r="I34" s="505"/>
      <c r="J34" s="354"/>
      <c r="K34" s="362"/>
      <c r="L34" s="350"/>
    </row>
    <row r="35" spans="2:12">
      <c r="B35" s="232" t="s">
        <v>198</v>
      </c>
      <c r="C35" s="32"/>
      <c r="D35" s="32"/>
      <c r="E35" s="306"/>
      <c r="F35" s="305"/>
      <c r="G35" s="331">
        <f>'N17-21'!F36</f>
        <v>674428.57000000007</v>
      </c>
      <c r="H35" s="349"/>
      <c r="I35" s="343">
        <f>'N17-21'!H36</f>
        <v>24889.620000000003</v>
      </c>
      <c r="J35" s="354"/>
      <c r="K35" s="362"/>
      <c r="L35" s="350"/>
    </row>
    <row r="36" spans="2:12">
      <c r="B36" s="32"/>
      <c r="C36" s="32"/>
      <c r="D36" s="32"/>
      <c r="E36" s="306"/>
      <c r="F36" s="305"/>
      <c r="G36" s="571"/>
      <c r="H36" s="350"/>
      <c r="I36" s="572"/>
      <c r="J36" s="354"/>
      <c r="K36" s="362"/>
      <c r="L36" s="350"/>
    </row>
    <row r="37" spans="2:12">
      <c r="B37" s="32" t="s">
        <v>90</v>
      </c>
      <c r="C37" s="32"/>
      <c r="D37" s="32"/>
      <c r="E37" s="306"/>
      <c r="F37" s="305"/>
      <c r="G37" s="480">
        <f>SUM(G30:G35)</f>
        <v>15906337.436716652</v>
      </c>
      <c r="H37" s="350"/>
      <c r="I37" s="350">
        <f>SUM(I30:I35)</f>
        <v>585759.62</v>
      </c>
      <c r="J37" s="354"/>
      <c r="K37" s="362"/>
      <c r="L37" s="350"/>
    </row>
    <row r="38" spans="2:12" ht="4.1500000000000004" customHeight="1">
      <c r="B38" s="57"/>
      <c r="C38" s="57"/>
      <c r="D38" s="57"/>
      <c r="E38" s="306"/>
      <c r="F38" s="306"/>
      <c r="G38" s="568"/>
      <c r="H38" s="480"/>
      <c r="I38" s="569"/>
      <c r="J38" s="354"/>
      <c r="K38" s="362"/>
      <c r="L38" s="350"/>
    </row>
    <row r="39" spans="2:12">
      <c r="B39" s="57"/>
      <c r="C39" s="57"/>
      <c r="D39" s="57"/>
      <c r="E39" s="306"/>
      <c r="F39" s="306"/>
      <c r="G39" s="480"/>
      <c r="H39" s="480"/>
      <c r="I39" s="495"/>
      <c r="J39" s="354"/>
      <c r="K39" s="362"/>
      <c r="L39" s="350"/>
    </row>
    <row r="40" spans="2:12">
      <c r="B40" s="57" t="s">
        <v>526</v>
      </c>
      <c r="C40" s="57"/>
      <c r="D40" s="57"/>
      <c r="E40" s="306"/>
      <c r="F40" s="306"/>
      <c r="G40" s="480"/>
      <c r="H40" s="480"/>
      <c r="I40" s="350"/>
      <c r="J40" s="354"/>
      <c r="K40" s="362"/>
      <c r="L40" s="350"/>
    </row>
    <row r="41" spans="2:12">
      <c r="B41" s="32" t="s">
        <v>525</v>
      </c>
      <c r="C41" s="57"/>
      <c r="D41" s="57"/>
      <c r="E41" s="522">
        <v>9.1</v>
      </c>
      <c r="F41" s="522"/>
      <c r="G41" s="480">
        <v>206962</v>
      </c>
      <c r="H41" s="480"/>
      <c r="I41" s="495">
        <v>206962</v>
      </c>
      <c r="J41" s="354"/>
      <c r="K41" s="362"/>
      <c r="L41" s="350"/>
    </row>
    <row r="42" spans="2:12">
      <c r="B42" s="57"/>
      <c r="C42" s="57"/>
      <c r="D42" s="57"/>
      <c r="E42" s="522"/>
      <c r="F42" s="522"/>
      <c r="G42" s="480"/>
      <c r="H42" s="480"/>
      <c r="I42" s="350"/>
      <c r="J42" s="354"/>
      <c r="K42" s="362"/>
      <c r="L42" s="350"/>
    </row>
    <row r="43" spans="2:12">
      <c r="B43" s="57"/>
      <c r="C43" s="57"/>
      <c r="D43" s="57"/>
      <c r="E43" s="522"/>
      <c r="F43" s="522"/>
      <c r="G43" s="568">
        <f>SUM(G41:G42)</f>
        <v>206962</v>
      </c>
      <c r="H43" s="480"/>
      <c r="I43" s="574">
        <f>SUM(I41:I42)</f>
        <v>206962</v>
      </c>
      <c r="J43" s="354"/>
      <c r="K43" s="362"/>
      <c r="L43" s="350"/>
    </row>
    <row r="44" spans="2:12" ht="4.5" customHeight="1">
      <c r="B44" s="57"/>
      <c r="C44" s="57"/>
      <c r="D44" s="57"/>
      <c r="E44" s="522"/>
      <c r="F44" s="522"/>
      <c r="G44" s="350"/>
      <c r="H44" s="480"/>
      <c r="I44" s="350"/>
      <c r="J44" s="354"/>
      <c r="K44" s="362"/>
      <c r="L44" s="350"/>
    </row>
    <row r="45" spans="2:12">
      <c r="B45" s="57" t="s">
        <v>91</v>
      </c>
      <c r="C45" s="57"/>
      <c r="D45" s="57"/>
      <c r="E45" s="306"/>
      <c r="F45" s="306"/>
      <c r="G45" s="480">
        <f>+G37</f>
        <v>15906337.436716652</v>
      </c>
      <c r="H45" s="480"/>
      <c r="I45" s="350">
        <f>I37+I43</f>
        <v>792721.62</v>
      </c>
      <c r="J45" s="354"/>
      <c r="K45" s="362"/>
      <c r="L45" s="350"/>
    </row>
    <row r="46" spans="2:12" ht="4.1500000000000004" customHeight="1">
      <c r="B46" s="57"/>
      <c r="C46" s="57"/>
      <c r="D46" s="57"/>
      <c r="E46" s="306"/>
      <c r="F46" s="306"/>
      <c r="G46" s="568"/>
      <c r="H46" s="480"/>
      <c r="I46" s="569"/>
      <c r="J46" s="354"/>
      <c r="K46" s="362"/>
      <c r="L46" s="350"/>
    </row>
    <row r="47" spans="2:12">
      <c r="B47" s="57"/>
      <c r="C47" s="57"/>
      <c r="D47" s="57"/>
      <c r="E47" s="306"/>
      <c r="F47" s="306"/>
      <c r="G47" s="480"/>
      <c r="H47" s="480"/>
      <c r="I47" s="495"/>
      <c r="J47" s="354"/>
      <c r="K47" s="362"/>
      <c r="L47" s="350"/>
    </row>
    <row r="48" spans="2:12">
      <c r="B48" s="57" t="s">
        <v>92</v>
      </c>
      <c r="C48" s="57"/>
      <c r="D48" s="57"/>
      <c r="E48" s="306"/>
      <c r="F48" s="306"/>
      <c r="G48" s="331"/>
      <c r="H48" s="331"/>
      <c r="I48" s="343"/>
      <c r="J48" s="354"/>
      <c r="K48" s="362"/>
      <c r="L48" s="350"/>
    </row>
    <row r="49" spans="2:12" ht="2.5" customHeight="1">
      <c r="B49" s="57"/>
      <c r="C49" s="57"/>
      <c r="D49" s="57"/>
      <c r="E49" s="306"/>
      <c r="F49" s="306"/>
      <c r="G49" s="331"/>
      <c r="H49" s="331"/>
      <c r="I49" s="343"/>
      <c r="J49" s="354"/>
      <c r="K49" s="362"/>
      <c r="L49" s="350"/>
    </row>
    <row r="50" spans="2:12">
      <c r="B50" s="32" t="s">
        <v>93</v>
      </c>
      <c r="C50" s="57"/>
      <c r="D50" s="57"/>
      <c r="E50" s="65">
        <v>12</v>
      </c>
      <c r="F50" s="351"/>
      <c r="G50" s="331">
        <f>+'N12-16'!F25</f>
        <v>625000</v>
      </c>
      <c r="H50" s="331"/>
      <c r="I50" s="349">
        <f>+'N12-16'!H25</f>
        <v>625000</v>
      </c>
      <c r="J50" s="354"/>
      <c r="K50" s="362"/>
      <c r="L50" s="350"/>
    </row>
    <row r="51" spans="2:12">
      <c r="B51" s="32" t="s">
        <v>94</v>
      </c>
      <c r="C51" s="57"/>
      <c r="D51" s="57"/>
      <c r="E51" s="306">
        <v>13</v>
      </c>
      <c r="F51" s="305"/>
      <c r="G51" s="329">
        <f>+'N12-16'!F41</f>
        <v>497107.00212609849</v>
      </c>
      <c r="H51" s="331"/>
      <c r="I51" s="330">
        <f>+'N12-16'!H41</f>
        <v>185956.64315000031</v>
      </c>
      <c r="J51" s="354"/>
      <c r="K51" s="362"/>
      <c r="L51" s="350"/>
    </row>
    <row r="52" spans="2:12" ht="6.65" customHeight="1">
      <c r="B52" s="32"/>
      <c r="C52" s="57"/>
      <c r="D52" s="57"/>
      <c r="E52" s="306"/>
      <c r="F52" s="306"/>
      <c r="G52" s="331"/>
      <c r="H52" s="331"/>
      <c r="I52" s="343"/>
      <c r="J52" s="354"/>
      <c r="K52" s="362"/>
      <c r="L52" s="350"/>
    </row>
    <row r="53" spans="2:12" ht="4.9000000000000004" customHeight="1">
      <c r="B53" s="32"/>
      <c r="C53" s="57"/>
      <c r="D53" s="57"/>
      <c r="E53" s="306"/>
      <c r="F53" s="306"/>
      <c r="G53" s="571"/>
      <c r="H53" s="480"/>
      <c r="I53" s="572"/>
      <c r="J53" s="354"/>
      <c r="K53" s="362"/>
      <c r="L53" s="350"/>
    </row>
    <row r="54" spans="2:12">
      <c r="B54" s="57"/>
      <c r="C54" s="57"/>
      <c r="D54" s="57"/>
      <c r="E54" s="306"/>
      <c r="F54" s="306"/>
      <c r="G54" s="329">
        <f>SUM(G50:G53)</f>
        <v>1122107.0021260986</v>
      </c>
      <c r="H54" s="480"/>
      <c r="I54" s="330">
        <f t="shared" ref="I54" si="0">SUM(I50:I53)</f>
        <v>810956.64315000037</v>
      </c>
      <c r="J54" s="354"/>
      <c r="K54" s="362"/>
      <c r="L54" s="350"/>
    </row>
    <row r="55" spans="2:12" ht="6" customHeight="1">
      <c r="B55" s="57"/>
      <c r="C55" s="57"/>
      <c r="D55" s="57"/>
      <c r="E55" s="306"/>
      <c r="F55" s="306"/>
      <c r="G55" s="568"/>
      <c r="H55" s="480"/>
      <c r="I55" s="569"/>
      <c r="J55" s="354"/>
      <c r="K55" s="362"/>
      <c r="L55" s="350"/>
    </row>
    <row r="56" spans="2:12" ht="2.25" customHeight="1">
      <c r="B56" s="57"/>
      <c r="C56" s="57"/>
      <c r="D56" s="57"/>
      <c r="E56" s="306"/>
      <c r="F56" s="306"/>
      <c r="G56" s="480"/>
      <c r="H56" s="480"/>
      <c r="I56" s="495"/>
      <c r="J56" s="354"/>
      <c r="K56" s="362"/>
      <c r="L56" s="350"/>
    </row>
    <row r="57" spans="2:12" ht="6.65" customHeight="1">
      <c r="B57" s="57"/>
      <c r="C57" s="57"/>
      <c r="D57" s="57"/>
      <c r="E57" s="306"/>
      <c r="F57" s="306"/>
      <c r="G57" s="480"/>
      <c r="H57" s="480"/>
      <c r="I57" s="495"/>
      <c r="J57" s="354"/>
      <c r="K57" s="362"/>
      <c r="L57" s="350"/>
    </row>
    <row r="58" spans="2:12">
      <c r="B58" s="57" t="s">
        <v>95</v>
      </c>
      <c r="C58" s="32"/>
      <c r="D58" s="32"/>
      <c r="E58" s="306"/>
      <c r="F58" s="305"/>
      <c r="G58" s="329">
        <f>G54+G45+0.9</f>
        <v>17028445.33884275</v>
      </c>
      <c r="H58" s="350"/>
      <c r="I58" s="330">
        <f>I54+I45</f>
        <v>1603678.2631500005</v>
      </c>
      <c r="J58" s="354"/>
      <c r="K58" s="362"/>
      <c r="L58" s="350"/>
    </row>
    <row r="59" spans="2:12" ht="3.75" customHeight="1" thickBot="1">
      <c r="G59" s="364"/>
      <c r="H59" s="365"/>
      <c r="I59" s="366"/>
      <c r="J59" s="354"/>
      <c r="K59" s="362"/>
      <c r="L59" s="367"/>
    </row>
    <row r="60" spans="2:12" ht="16" thickTop="1">
      <c r="G60" s="368"/>
      <c r="H60" s="365"/>
      <c r="I60" s="369"/>
      <c r="J60" s="354"/>
      <c r="K60" s="362"/>
      <c r="L60" s="367"/>
    </row>
    <row r="61" spans="2:12">
      <c r="G61" s="369"/>
      <c r="H61" s="369"/>
      <c r="I61" s="369"/>
      <c r="J61" s="354"/>
      <c r="K61" s="362"/>
      <c r="L61" s="367"/>
    </row>
    <row r="62" spans="2:12">
      <c r="G62" s="370"/>
      <c r="H62" s="370"/>
      <c r="I62" s="370"/>
      <c r="J62" s="370"/>
    </row>
    <row r="63" spans="2:12">
      <c r="B63" s="543" t="s">
        <v>529</v>
      </c>
      <c r="C63" s="543"/>
      <c r="D63" s="543"/>
      <c r="E63" s="543"/>
      <c r="F63" s="543"/>
      <c r="G63" s="543"/>
      <c r="H63" s="543"/>
      <c r="I63" s="543"/>
      <c r="L63" s="362"/>
    </row>
    <row r="64" spans="2:12">
      <c r="G64" s="372"/>
      <c r="H64" s="316"/>
    </row>
    <row r="65" spans="2:8">
      <c r="G65" s="372"/>
      <c r="H65" s="316"/>
    </row>
    <row r="66" spans="2:8">
      <c r="B66" s="57" t="s">
        <v>96</v>
      </c>
      <c r="C66" s="32"/>
      <c r="D66" s="32"/>
      <c r="E66" s="57" t="s">
        <v>97</v>
      </c>
      <c r="F66" s="57"/>
      <c r="G66" s="66"/>
      <c r="H66" s="67"/>
    </row>
    <row r="67" spans="2:8">
      <c r="B67" s="57"/>
      <c r="C67" s="68" t="s">
        <v>98</v>
      </c>
      <c r="D67" s="57"/>
      <c r="E67" s="306"/>
      <c r="F67" s="306"/>
      <c r="G67" s="69" t="s">
        <v>99</v>
      </c>
      <c r="H67" s="69"/>
    </row>
    <row r="71" spans="2:8">
      <c r="G71" s="372"/>
    </row>
  </sheetData>
  <mergeCells count="4">
    <mergeCell ref="B1:I1"/>
    <mergeCell ref="B2:I2"/>
    <mergeCell ref="B3:I3"/>
    <mergeCell ref="B63:I63"/>
  </mergeCells>
  <printOptions horizontalCentered="1"/>
  <pageMargins left="0.7" right="0.25" top="0.63333333333333297" bottom="0.36" header="0.3" footer="0.3"/>
  <pageSetup paperSize="9" orientation="portrait" r:id="rId1"/>
  <headerFooter>
    <oddFooter>&amp;C8</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EE82F-D302-4B34-9F11-6D0D4BAF4385}">
  <dimension ref="A1:I30"/>
  <sheetViews>
    <sheetView zoomScaleNormal="100" workbookViewId="0">
      <selection activeCell="A17" sqref="A17"/>
    </sheetView>
  </sheetViews>
  <sheetFormatPr defaultColWidth="9.1796875" defaultRowHeight="15.5"/>
  <cols>
    <col min="1" max="1" width="23.453125" style="70" customWidth="1"/>
    <col min="2" max="2" width="8.1796875" style="70" customWidth="1"/>
    <col min="3" max="3" width="8.7265625" style="70" customWidth="1"/>
    <col min="4" max="4" width="12.1796875" style="89" bestFit="1" customWidth="1"/>
    <col min="5" max="5" width="2.7265625" style="89" customWidth="1"/>
    <col min="6" max="6" width="13.54296875" style="89" bestFit="1" customWidth="1"/>
    <col min="7" max="7" width="2.453125" style="89" customWidth="1"/>
    <col min="8" max="8" width="13.54296875" style="89" bestFit="1" customWidth="1"/>
    <col min="9" max="9" width="19.453125" style="70" customWidth="1"/>
    <col min="10" max="10" width="9.1796875" style="70"/>
    <col min="11" max="11" width="9.26953125" style="70" bestFit="1" customWidth="1"/>
    <col min="12" max="16384" width="9.1796875" style="70"/>
  </cols>
  <sheetData>
    <row r="1" spans="1:9">
      <c r="A1" s="559" t="str">
        <f>+SFP!B1</f>
        <v>MES CONTRACTING AND TRADING LTD</v>
      </c>
      <c r="B1" s="559"/>
      <c r="C1" s="559"/>
      <c r="D1" s="559"/>
      <c r="E1" s="559"/>
      <c r="F1" s="559"/>
      <c r="G1" s="559"/>
      <c r="H1" s="559"/>
    </row>
    <row r="2" spans="1:9">
      <c r="A2" s="559" t="s">
        <v>16</v>
      </c>
      <c r="B2" s="559"/>
      <c r="C2" s="559"/>
      <c r="D2" s="559"/>
      <c r="E2" s="559"/>
      <c r="F2" s="559"/>
      <c r="G2" s="559"/>
      <c r="H2" s="559"/>
    </row>
    <row r="3" spans="1:9">
      <c r="A3" s="559" t="str">
        <f>+'P &amp; L'!A3:H3</f>
        <v>FOR THE YEAR ENDED 31 DECEMBER 2023</v>
      </c>
      <c r="B3" s="559"/>
      <c r="C3" s="559"/>
      <c r="D3" s="559"/>
      <c r="E3" s="559"/>
      <c r="F3" s="559"/>
      <c r="G3" s="559"/>
      <c r="H3" s="559"/>
    </row>
    <row r="4" spans="1:9">
      <c r="A4" s="71"/>
      <c r="B4" s="71"/>
      <c r="C4" s="71"/>
      <c r="D4" s="72"/>
      <c r="E4" s="72"/>
      <c r="F4" s="72"/>
      <c r="G4" s="72"/>
      <c r="H4" s="72"/>
    </row>
    <row r="5" spans="1:9">
      <c r="A5" s="71"/>
      <c r="B5" s="71"/>
      <c r="C5" s="71"/>
      <c r="D5" s="73" t="s">
        <v>100</v>
      </c>
      <c r="E5" s="73"/>
      <c r="F5" s="73" t="s">
        <v>101</v>
      </c>
      <c r="G5" s="73"/>
      <c r="H5" s="73" t="s">
        <v>102</v>
      </c>
    </row>
    <row r="6" spans="1:9">
      <c r="A6" s="72"/>
      <c r="B6" s="72"/>
      <c r="C6" s="71"/>
      <c r="D6" s="73" t="s">
        <v>103</v>
      </c>
      <c r="E6" s="73"/>
      <c r="F6" s="73" t="s">
        <v>104</v>
      </c>
      <c r="G6" s="73"/>
      <c r="H6" s="73" t="s">
        <v>105</v>
      </c>
    </row>
    <row r="7" spans="1:9">
      <c r="A7" s="74"/>
      <c r="B7" s="74"/>
      <c r="C7" s="71"/>
      <c r="D7" s="73" t="s">
        <v>34</v>
      </c>
      <c r="E7" s="73"/>
      <c r="F7" s="73" t="s">
        <v>34</v>
      </c>
      <c r="G7" s="73"/>
      <c r="H7" s="73" t="s">
        <v>34</v>
      </c>
    </row>
    <row r="8" spans="1:9">
      <c r="A8" s="75">
        <v>2023</v>
      </c>
      <c r="B8" s="71"/>
      <c r="C8" s="71"/>
      <c r="D8" s="76"/>
      <c r="E8" s="76"/>
      <c r="F8" s="77"/>
      <c r="G8" s="76"/>
      <c r="H8" s="76"/>
    </row>
    <row r="9" spans="1:9">
      <c r="A9" s="71" t="s">
        <v>106</v>
      </c>
      <c r="B9" s="71"/>
      <c r="C9" s="71"/>
      <c r="D9" s="76">
        <f>D28</f>
        <v>625000</v>
      </c>
      <c r="E9" s="76">
        <f t="shared" ref="E9:F9" si="0">E28</f>
        <v>0</v>
      </c>
      <c r="F9" s="76">
        <f t="shared" si="0"/>
        <v>185956.64</v>
      </c>
      <c r="G9" s="72"/>
      <c r="H9" s="72">
        <f>SUM(D9:F9)</f>
        <v>810956.64</v>
      </c>
    </row>
    <row r="10" spans="1:9" ht="7.9" customHeight="1">
      <c r="A10" s="71"/>
      <c r="B10" s="71"/>
      <c r="C10" s="71"/>
      <c r="D10" s="76"/>
      <c r="E10" s="72"/>
      <c r="F10" s="78"/>
      <c r="G10" s="72"/>
      <c r="H10" s="72"/>
    </row>
    <row r="11" spans="1:9">
      <c r="A11" s="71" t="s">
        <v>107</v>
      </c>
      <c r="B11" s="71"/>
      <c r="C11" s="71"/>
      <c r="D11" s="76"/>
      <c r="E11" s="72"/>
      <c r="F11" s="79">
        <f>+'P &amp; L'!F33</f>
        <v>311150.35897609818</v>
      </c>
      <c r="G11" s="72"/>
      <c r="H11" s="72">
        <f>SUM(D11:F11)</f>
        <v>311150.35897609818</v>
      </c>
    </row>
    <row r="12" spans="1:9">
      <c r="A12" s="71"/>
      <c r="B12" s="71"/>
      <c r="C12" s="71"/>
      <c r="D12" s="76"/>
      <c r="E12" s="72"/>
      <c r="F12" s="79"/>
      <c r="G12" s="72"/>
      <c r="H12" s="72"/>
    </row>
    <row r="13" spans="1:9">
      <c r="A13" s="71" t="s">
        <v>280</v>
      </c>
      <c r="B13" s="71"/>
      <c r="C13" s="71"/>
      <c r="D13" s="76"/>
      <c r="E13" s="72"/>
      <c r="F13" s="79"/>
      <c r="G13" s="72"/>
      <c r="H13" s="72">
        <f>SUM(D13:F13)</f>
        <v>0</v>
      </c>
    </row>
    <row r="14" spans="1:9" ht="9" customHeight="1">
      <c r="A14" s="71"/>
      <c r="B14" s="71"/>
      <c r="C14" s="71"/>
      <c r="D14" s="80"/>
      <c r="E14" s="72"/>
      <c r="F14" s="80"/>
      <c r="G14" s="72"/>
      <c r="H14" s="80"/>
    </row>
    <row r="15" spans="1:9">
      <c r="A15" s="71"/>
      <c r="B15" s="71"/>
      <c r="C15" s="71"/>
      <c r="D15" s="72"/>
      <c r="E15" s="72"/>
      <c r="F15" s="72"/>
      <c r="G15" s="72"/>
      <c r="H15" s="72"/>
    </row>
    <row r="16" spans="1:9" s="17" customFormat="1">
      <c r="A16" s="81" t="s">
        <v>530</v>
      </c>
      <c r="B16" s="81"/>
      <c r="C16" s="81"/>
      <c r="D16" s="82">
        <f>SUM(D9:D13)</f>
        <v>625000</v>
      </c>
      <c r="E16" s="82"/>
      <c r="F16" s="82">
        <f>SUM(F9:F13)</f>
        <v>497106.9989760982</v>
      </c>
      <c r="G16" s="82"/>
      <c r="H16" s="82">
        <f>SUM(H9:H13)</f>
        <v>1122106.9989760981</v>
      </c>
      <c r="I16" s="83"/>
    </row>
    <row r="17" spans="1:9" ht="16" thickBot="1">
      <c r="A17" s="71"/>
      <c r="B17" s="71"/>
      <c r="C17" s="71"/>
      <c r="D17" s="84"/>
      <c r="E17" s="72"/>
      <c r="F17" s="84"/>
      <c r="G17" s="72"/>
      <c r="H17" s="84"/>
    </row>
    <row r="18" spans="1:9" ht="16" thickTop="1">
      <c r="A18" s="71"/>
      <c r="B18" s="71"/>
      <c r="C18" s="71"/>
      <c r="D18" s="72"/>
      <c r="E18" s="72"/>
      <c r="F18" s="72"/>
      <c r="G18" s="72"/>
      <c r="H18" s="72"/>
      <c r="I18" s="85"/>
    </row>
    <row r="19" spans="1:9">
      <c r="A19" s="71"/>
      <c r="B19" s="71"/>
      <c r="C19" s="71"/>
      <c r="D19" s="72"/>
      <c r="E19" s="72"/>
      <c r="F19" s="72"/>
      <c r="G19" s="72"/>
      <c r="H19" s="72"/>
      <c r="I19" s="85"/>
    </row>
    <row r="20" spans="1:9">
      <c r="A20" s="75">
        <v>2022</v>
      </c>
      <c r="B20" s="71"/>
      <c r="C20" s="71"/>
      <c r="D20" s="72"/>
      <c r="E20" s="72"/>
      <c r="F20" s="72"/>
      <c r="G20" s="72"/>
      <c r="H20" s="72"/>
      <c r="I20" s="85"/>
    </row>
    <row r="21" spans="1:9">
      <c r="A21" s="71" t="s">
        <v>108</v>
      </c>
      <c r="B21" s="71"/>
      <c r="C21" s="71"/>
      <c r="D21" s="72">
        <v>625000</v>
      </c>
      <c r="E21" s="72"/>
      <c r="F21" s="78">
        <v>100876</v>
      </c>
      <c r="G21" s="72"/>
      <c r="H21" s="72">
        <f>SUM(D21:F21)</f>
        <v>725876</v>
      </c>
      <c r="I21" s="86"/>
    </row>
    <row r="22" spans="1:9" ht="7.9" customHeight="1">
      <c r="A22" s="71"/>
      <c r="B22" s="71"/>
      <c r="C22" s="71"/>
      <c r="D22" s="72"/>
      <c r="E22" s="72"/>
      <c r="F22" s="78"/>
      <c r="G22" s="72"/>
      <c r="H22" s="72"/>
      <c r="I22" s="86"/>
    </row>
    <row r="23" spans="1:9">
      <c r="A23" s="71" t="s">
        <v>470</v>
      </c>
      <c r="B23" s="71"/>
      <c r="C23" s="71"/>
      <c r="D23" s="374">
        <v>0</v>
      </c>
      <c r="E23" s="72"/>
      <c r="F23" s="78">
        <v>85080.639999999999</v>
      </c>
      <c r="G23" s="72"/>
      <c r="H23" s="72">
        <f>SUM(D23:F23)</f>
        <v>85080.639999999999</v>
      </c>
      <c r="I23" s="86"/>
    </row>
    <row r="24" spans="1:9">
      <c r="A24" s="71"/>
      <c r="B24" s="71"/>
      <c r="C24" s="71"/>
      <c r="D24" s="78"/>
      <c r="E24" s="72"/>
      <c r="F24" s="78"/>
      <c r="G24" s="72"/>
      <c r="H24" s="72">
        <f t="shared" ref="H24:H25" si="1">SUM(D24:F24)</f>
        <v>0</v>
      </c>
      <c r="I24" s="86"/>
    </row>
    <row r="25" spans="1:9">
      <c r="A25" s="71" t="s">
        <v>280</v>
      </c>
      <c r="B25" s="71"/>
      <c r="C25" s="71"/>
      <c r="D25" s="78"/>
      <c r="E25" s="72"/>
      <c r="F25" s="78"/>
      <c r="G25" s="72"/>
      <c r="H25" s="72">
        <f t="shared" si="1"/>
        <v>0</v>
      </c>
      <c r="I25" s="86"/>
    </row>
    <row r="26" spans="1:9">
      <c r="A26" s="71"/>
      <c r="B26" s="71"/>
      <c r="C26" s="71"/>
      <c r="D26" s="72"/>
      <c r="E26" s="72"/>
      <c r="F26" s="72"/>
      <c r="G26" s="72"/>
      <c r="H26" s="72"/>
    </row>
    <row r="27" spans="1:9">
      <c r="A27" s="71"/>
      <c r="B27" s="71"/>
      <c r="C27" s="71"/>
      <c r="D27" s="87"/>
      <c r="E27" s="72"/>
      <c r="F27" s="87"/>
      <c r="G27" s="72"/>
      <c r="H27" s="87"/>
    </row>
    <row r="28" spans="1:9">
      <c r="A28" s="71" t="s">
        <v>109</v>
      </c>
      <c r="B28" s="71"/>
      <c r="C28" s="71"/>
      <c r="D28" s="88">
        <f>SUM(D21:D27)</f>
        <v>625000</v>
      </c>
      <c r="E28" s="72"/>
      <c r="F28" s="88">
        <f>SUM(F21:F27)</f>
        <v>185956.64</v>
      </c>
      <c r="G28" s="72"/>
      <c r="H28" s="88">
        <f>SUM(H21:H27)</f>
        <v>810956.64</v>
      </c>
    </row>
    <row r="29" spans="1:9" ht="16" thickBot="1">
      <c r="A29" s="71"/>
      <c r="B29" s="71"/>
      <c r="C29" s="71"/>
      <c r="D29" s="84"/>
      <c r="E29" s="72"/>
      <c r="F29" s="84"/>
      <c r="G29" s="72"/>
      <c r="H29" s="84"/>
    </row>
    <row r="30" spans="1:9" ht="16" thickTop="1"/>
  </sheetData>
  <mergeCells count="3">
    <mergeCell ref="A1:H1"/>
    <mergeCell ref="A2:H2"/>
    <mergeCell ref="A3:H3"/>
  </mergeCells>
  <printOptions horizontalCentered="1"/>
  <pageMargins left="0.7" right="0.7" top="0.75" bottom="0.75" header="0.3" footer="0.3"/>
  <pageSetup paperSize="9" orientation="portrait" r:id="rId1"/>
  <headerFooter>
    <oddFooter>&amp;C9</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382D4-3E2F-4E0E-802C-98683ED6A091}">
  <dimension ref="A1:M62"/>
  <sheetViews>
    <sheetView tabSelected="1" topLeftCell="A14" zoomScale="98" zoomScaleNormal="98" workbookViewId="0">
      <selection activeCell="H39" sqref="H39"/>
    </sheetView>
  </sheetViews>
  <sheetFormatPr defaultColWidth="9.1796875" defaultRowHeight="15.5"/>
  <cols>
    <col min="1" max="1" width="13.81640625" style="232" customWidth="1"/>
    <col min="2" max="2" width="11" style="232" customWidth="1"/>
    <col min="3" max="3" width="9.1796875" style="232"/>
    <col min="4" max="4" width="13.81640625" style="232" customWidth="1"/>
    <col min="5" max="5" width="9.7265625" style="232" customWidth="1"/>
    <col min="6" max="6" width="12.7265625" style="56" bestFit="1" customWidth="1"/>
    <col min="7" max="7" width="2" style="56" customWidth="1"/>
    <col min="8" max="8" width="13.54296875" style="407" bestFit="1" customWidth="1"/>
    <col min="9" max="9" width="9.1796875" style="232"/>
    <col min="10" max="10" width="17.54296875" style="313" bestFit="1" customWidth="1"/>
    <col min="11" max="11" width="14.26953125" style="232" bestFit="1" customWidth="1"/>
    <col min="12" max="12" width="17.7265625" style="313" customWidth="1"/>
    <col min="13" max="13" width="12.81640625" style="232" bestFit="1" customWidth="1"/>
    <col min="14" max="16384" width="9.1796875" style="232"/>
  </cols>
  <sheetData>
    <row r="1" spans="1:11">
      <c r="A1" s="542" t="str">
        <f>+SFP!B1</f>
        <v>MES CONTRACTING AND TRADING LTD</v>
      </c>
      <c r="B1" s="542"/>
      <c r="C1" s="542"/>
      <c r="D1" s="542"/>
      <c r="E1" s="542"/>
      <c r="F1" s="542"/>
      <c r="G1" s="542"/>
      <c r="H1" s="542"/>
      <c r="I1" s="56"/>
    </row>
    <row r="2" spans="1:11">
      <c r="A2" s="543" t="s">
        <v>110</v>
      </c>
      <c r="B2" s="543"/>
      <c r="C2" s="543"/>
      <c r="D2" s="543"/>
      <c r="E2" s="543"/>
      <c r="F2" s="543"/>
      <c r="G2" s="543"/>
      <c r="H2" s="543"/>
      <c r="I2" s="56"/>
    </row>
    <row r="3" spans="1:11" ht="15.75" customHeight="1">
      <c r="A3" s="543" t="str">
        <f>+'P &amp; L'!A3:H3</f>
        <v>FOR THE YEAR ENDED 31 DECEMBER 2023</v>
      </c>
      <c r="B3" s="543"/>
      <c r="C3" s="543"/>
      <c r="D3" s="543"/>
      <c r="E3" s="543"/>
      <c r="F3" s="543"/>
      <c r="G3" s="543"/>
      <c r="H3" s="543"/>
      <c r="I3" s="56"/>
    </row>
    <row r="4" spans="1:11" ht="12" customHeight="1">
      <c r="A4" s="32"/>
      <c r="B4" s="32"/>
      <c r="C4" s="32"/>
      <c r="D4" s="32"/>
      <c r="E4" s="32"/>
      <c r="F4" s="57"/>
      <c r="G4" s="57"/>
      <c r="H4" s="97"/>
    </row>
    <row r="5" spans="1:11">
      <c r="A5" s="32"/>
      <c r="B5" s="32"/>
      <c r="C5" s="32"/>
      <c r="D5" s="32"/>
      <c r="E5" s="57"/>
      <c r="F5" s="92">
        <f>+SFP!G5</f>
        <v>2023</v>
      </c>
      <c r="G5" s="92"/>
      <c r="H5" s="97">
        <f>+SFP!I5</f>
        <v>2022</v>
      </c>
      <c r="K5" s="92"/>
    </row>
    <row r="6" spans="1:11">
      <c r="A6" s="32"/>
      <c r="B6" s="32"/>
      <c r="C6" s="32"/>
      <c r="D6" s="32"/>
      <c r="E6" s="32"/>
      <c r="F6" s="92" t="s">
        <v>34</v>
      </c>
      <c r="G6" s="306"/>
      <c r="H6" s="97" t="s">
        <v>34</v>
      </c>
      <c r="K6" s="92"/>
    </row>
    <row r="7" spans="1:11" ht="14.25" customHeight="1">
      <c r="A7" s="57" t="s">
        <v>111</v>
      </c>
      <c r="B7" s="32"/>
      <c r="C7" s="32"/>
      <c r="D7" s="32"/>
      <c r="E7" s="32"/>
      <c r="F7" s="57"/>
      <c r="G7" s="57"/>
      <c r="H7" s="32"/>
      <c r="K7" s="97"/>
    </row>
    <row r="8" spans="1:11" ht="2.25" customHeight="1">
      <c r="A8" s="32"/>
      <c r="B8" s="32"/>
      <c r="C8" s="32"/>
      <c r="D8" s="32"/>
      <c r="E8" s="32"/>
      <c r="F8" s="57"/>
      <c r="G8" s="57"/>
      <c r="H8" s="32"/>
      <c r="K8" s="97"/>
    </row>
    <row r="9" spans="1:11">
      <c r="A9" s="57" t="s">
        <v>112</v>
      </c>
      <c r="B9" s="32"/>
      <c r="C9" s="32"/>
      <c r="D9" s="32"/>
      <c r="E9" s="32"/>
      <c r="F9" s="232"/>
      <c r="G9" s="375"/>
      <c r="H9" s="232"/>
      <c r="K9" s="106"/>
    </row>
    <row r="10" spans="1:11">
      <c r="A10" s="32" t="s">
        <v>113</v>
      </c>
      <c r="B10" s="32"/>
      <c r="C10" s="32"/>
      <c r="D10" s="32"/>
      <c r="E10" s="32"/>
      <c r="F10" s="375">
        <f>'P &amp; L'!F24</f>
        <v>406725.98716813093</v>
      </c>
      <c r="G10" s="375"/>
      <c r="H10" s="376">
        <f>'P &amp; L'!H28</f>
        <v>113660.07620000013</v>
      </c>
      <c r="K10" s="106"/>
    </row>
    <row r="11" spans="1:11">
      <c r="A11" s="32" t="s">
        <v>114</v>
      </c>
      <c r="B11" s="32"/>
      <c r="C11" s="32"/>
      <c r="D11" s="32"/>
      <c r="E11" s="32"/>
      <c r="F11" s="99"/>
      <c r="G11" s="99"/>
      <c r="H11" s="100"/>
      <c r="J11" s="377"/>
      <c r="K11" s="97"/>
    </row>
    <row r="12" spans="1:11">
      <c r="A12" s="32" t="s">
        <v>115</v>
      </c>
      <c r="B12" s="32"/>
      <c r="C12" s="32"/>
      <c r="D12" s="32"/>
      <c r="E12" s="32"/>
      <c r="F12" s="99">
        <f>+N6A!H40</f>
        <v>623131.88560000004</v>
      </c>
      <c r="G12" s="99"/>
      <c r="H12" s="100">
        <f>+'N6'!H36</f>
        <v>17389.851999999999</v>
      </c>
      <c r="J12" s="377"/>
      <c r="K12" s="331"/>
    </row>
    <row r="13" spans="1:11" ht="6" customHeight="1">
      <c r="A13" s="32"/>
      <c r="B13" s="32"/>
      <c r="C13" s="32"/>
      <c r="D13" s="32"/>
      <c r="E13" s="32"/>
      <c r="F13" s="378"/>
      <c r="G13" s="99"/>
      <c r="H13" s="376"/>
      <c r="J13" s="377"/>
      <c r="K13" s="106"/>
    </row>
    <row r="14" spans="1:11" ht="4.9000000000000004" customHeight="1">
      <c r="A14" s="32"/>
      <c r="B14" s="32"/>
      <c r="C14" s="32"/>
      <c r="D14" s="32"/>
      <c r="E14" s="32"/>
      <c r="F14" s="379"/>
      <c r="G14" s="99"/>
      <c r="H14" s="380"/>
      <c r="K14" s="381"/>
    </row>
    <row r="15" spans="1:11">
      <c r="A15" s="32"/>
      <c r="B15" s="32"/>
      <c r="C15" s="32"/>
      <c r="D15" s="32"/>
      <c r="E15" s="32"/>
      <c r="F15" s="375">
        <f>SUM(F10:F14)</f>
        <v>1029857.872768131</v>
      </c>
      <c r="G15" s="382"/>
      <c r="H15" s="376">
        <f>SUM(H10:H14)</f>
        <v>131049.92820000013</v>
      </c>
      <c r="K15" s="106"/>
    </row>
    <row r="16" spans="1:11">
      <c r="A16" s="32" t="s">
        <v>116</v>
      </c>
      <c r="B16" s="32"/>
      <c r="C16" s="32"/>
      <c r="D16" s="32"/>
      <c r="E16" s="32"/>
      <c r="F16" s="375">
        <f>+SFP!I16-SFP!G16</f>
        <v>-5288300</v>
      </c>
      <c r="G16" s="383"/>
      <c r="H16" s="384">
        <v>-1320700</v>
      </c>
      <c r="K16" s="106"/>
    </row>
    <row r="17" spans="1:12">
      <c r="A17" s="32" t="s">
        <v>117</v>
      </c>
      <c r="B17" s="32"/>
      <c r="C17" s="32"/>
      <c r="D17" s="32"/>
      <c r="E17" s="32"/>
      <c r="F17" s="375">
        <f>SFP!I17-SFP!G17</f>
        <v>-347834.37258478068</v>
      </c>
      <c r="G17" s="383"/>
      <c r="H17" s="384">
        <v>411457.72112499992</v>
      </c>
      <c r="K17" s="101"/>
    </row>
    <row r="18" spans="1:12">
      <c r="A18" s="32" t="s">
        <v>118</v>
      </c>
      <c r="B18" s="32"/>
      <c r="C18" s="32"/>
      <c r="D18" s="32"/>
      <c r="E18" s="32"/>
      <c r="F18" s="383">
        <f>(SFP!G31+SFP!G35)-(SFP!I31+SFP!I35)</f>
        <v>14821539.552858686</v>
      </c>
      <c r="G18" s="383"/>
      <c r="H18" s="384">
        <v>560870</v>
      </c>
      <c r="K18" s="106"/>
    </row>
    <row r="19" spans="1:12" ht="4.9000000000000004" customHeight="1">
      <c r="A19" s="32"/>
      <c r="B19" s="32"/>
      <c r="C19" s="32"/>
      <c r="D19" s="32"/>
      <c r="E19" s="32"/>
      <c r="F19" s="383"/>
      <c r="G19" s="383"/>
      <c r="H19" s="385"/>
      <c r="K19" s="106"/>
    </row>
    <row r="20" spans="1:12" ht="5.5" customHeight="1">
      <c r="A20" s="32"/>
      <c r="B20" s="32"/>
      <c r="C20" s="32"/>
      <c r="D20" s="32"/>
      <c r="E20" s="32"/>
      <c r="F20" s="386"/>
      <c r="G20" s="382"/>
      <c r="H20" s="387"/>
      <c r="K20" s="315"/>
    </row>
    <row r="21" spans="1:12" s="56" customFormat="1">
      <c r="A21" s="57" t="s">
        <v>119</v>
      </c>
      <c r="B21" s="57"/>
      <c r="C21" s="57"/>
      <c r="D21" s="57"/>
      <c r="E21" s="57"/>
      <c r="F21" s="375">
        <f>SUM(F15:F20)</f>
        <v>10215263.053042036</v>
      </c>
      <c r="G21" s="99"/>
      <c r="H21" s="376">
        <f>SUM(H15:H20)</f>
        <v>-217322.35067499988</v>
      </c>
      <c r="J21" s="388"/>
      <c r="K21" s="47"/>
      <c r="L21" s="388"/>
    </row>
    <row r="22" spans="1:12">
      <c r="A22" s="32" t="s">
        <v>120</v>
      </c>
      <c r="B22" s="32"/>
      <c r="C22" s="32"/>
      <c r="D22" s="32"/>
      <c r="E22" s="100"/>
      <c r="F22" s="375">
        <v>-235267.28904203733</v>
      </c>
      <c r="G22" s="389"/>
      <c r="H22" s="330">
        <v>-64012.37</v>
      </c>
      <c r="K22" s="101"/>
    </row>
    <row r="23" spans="1:12">
      <c r="A23" s="32" t="s">
        <v>457</v>
      </c>
      <c r="B23" s="32"/>
      <c r="C23" s="32"/>
      <c r="D23" s="32"/>
      <c r="E23" s="100"/>
      <c r="F23" s="375"/>
      <c r="G23" s="389"/>
      <c r="H23" s="330"/>
      <c r="K23" s="101"/>
    </row>
    <row r="24" spans="1:12">
      <c r="A24" s="32"/>
      <c r="B24" s="32"/>
      <c r="C24" s="32"/>
      <c r="D24" s="32"/>
      <c r="E24" s="32"/>
      <c r="F24" s="375"/>
      <c r="G24" s="389"/>
      <c r="H24" s="390"/>
      <c r="K24" s="101"/>
    </row>
    <row r="25" spans="1:12">
      <c r="A25" s="32"/>
      <c r="B25" s="32"/>
      <c r="C25" s="32"/>
      <c r="D25" s="32"/>
      <c r="E25" s="32"/>
      <c r="F25" s="375"/>
      <c r="G25" s="389"/>
      <c r="H25" s="390"/>
      <c r="J25" s="336"/>
      <c r="K25" s="101"/>
    </row>
    <row r="26" spans="1:12">
      <c r="A26" s="32"/>
      <c r="B26" s="32"/>
      <c r="C26" s="32"/>
      <c r="D26" s="32"/>
      <c r="E26" s="32"/>
      <c r="F26" s="375"/>
      <c r="G26" s="389"/>
      <c r="H26" s="376"/>
      <c r="K26" s="101"/>
    </row>
    <row r="27" spans="1:12">
      <c r="A27" s="32"/>
      <c r="B27" s="32"/>
      <c r="C27" s="32"/>
      <c r="D27" s="32"/>
      <c r="E27" s="32"/>
      <c r="F27" s="379"/>
      <c r="G27" s="389"/>
      <c r="H27" s="380"/>
      <c r="K27" s="381"/>
    </row>
    <row r="28" spans="1:12">
      <c r="A28" s="57" t="s">
        <v>121</v>
      </c>
      <c r="B28" s="32"/>
      <c r="C28" s="32"/>
      <c r="D28" s="32"/>
      <c r="E28" s="32"/>
      <c r="F28" s="375">
        <f>SUM(F21:F27)</f>
        <v>9979995.7639999986</v>
      </c>
      <c r="G28" s="99"/>
      <c r="H28" s="376">
        <f>SUM(H21:H27)</f>
        <v>-281334.72067499987</v>
      </c>
      <c r="K28" s="47"/>
    </row>
    <row r="29" spans="1:12" ht="4.5" customHeight="1">
      <c r="A29" s="57"/>
      <c r="B29" s="32"/>
      <c r="C29" s="32"/>
      <c r="D29" s="32"/>
      <c r="E29" s="32"/>
      <c r="F29" s="391"/>
      <c r="G29" s="99"/>
      <c r="H29" s="392"/>
      <c r="K29" s="47"/>
    </row>
    <row r="30" spans="1:12">
      <c r="A30" s="57" t="s">
        <v>122</v>
      </c>
      <c r="B30" s="32"/>
      <c r="C30" s="32"/>
      <c r="D30" s="32"/>
      <c r="E30" s="32"/>
      <c r="F30" s="99"/>
      <c r="G30" s="99"/>
      <c r="H30" s="100"/>
      <c r="K30" s="47"/>
    </row>
    <row r="31" spans="1:12">
      <c r="A31" s="32" t="s">
        <v>123</v>
      </c>
      <c r="B31" s="32"/>
      <c r="C31" s="32"/>
      <c r="D31" s="32"/>
      <c r="E31" s="32"/>
      <c r="F31" s="393">
        <f>-N6A!H23</f>
        <v>-5806100</v>
      </c>
      <c r="G31" s="99"/>
      <c r="H31" s="330">
        <f>2500+0.4</f>
        <v>2500.4</v>
      </c>
      <c r="K31" s="323"/>
    </row>
    <row r="32" spans="1:12">
      <c r="A32" s="32" t="s">
        <v>459</v>
      </c>
      <c r="B32" s="32"/>
      <c r="C32" s="32"/>
      <c r="D32" s="32"/>
      <c r="E32" s="32"/>
      <c r="F32" s="507">
        <v>0</v>
      </c>
      <c r="G32" s="99"/>
      <c r="H32" s="330"/>
      <c r="K32" s="323"/>
    </row>
    <row r="33" spans="1:13" ht="6.65" customHeight="1">
      <c r="F33" s="375"/>
      <c r="G33" s="394"/>
      <c r="H33" s="323"/>
      <c r="K33" s="101"/>
      <c r="M33" s="235"/>
    </row>
    <row r="34" spans="1:13" ht="4.9000000000000004" customHeight="1">
      <c r="A34" s="32"/>
      <c r="B34" s="32"/>
      <c r="C34" s="32"/>
      <c r="D34" s="32"/>
      <c r="E34" s="32"/>
      <c r="F34" s="395"/>
      <c r="G34" s="396"/>
      <c r="H34" s="397"/>
      <c r="K34" s="381"/>
    </row>
    <row r="35" spans="1:13">
      <c r="A35" s="57" t="s">
        <v>124</v>
      </c>
      <c r="B35" s="32"/>
      <c r="C35" s="32"/>
      <c r="D35" s="32"/>
      <c r="E35" s="32"/>
      <c r="F35" s="375">
        <f>SUM(F31:F34)</f>
        <v>-5806100</v>
      </c>
      <c r="G35" s="99"/>
      <c r="H35" s="398">
        <f>SUM(H31:H34)</f>
        <v>2500.4</v>
      </c>
      <c r="K35" s="67"/>
    </row>
    <row r="36" spans="1:13" ht="7.15" customHeight="1">
      <c r="A36" s="32"/>
      <c r="B36" s="32"/>
      <c r="C36" s="32"/>
      <c r="D36" s="32"/>
      <c r="E36" s="32"/>
      <c r="F36" s="391"/>
      <c r="G36" s="99"/>
      <c r="H36" s="392"/>
      <c r="K36" s="97"/>
    </row>
    <row r="37" spans="1:13" ht="1.5" customHeight="1">
      <c r="A37" s="32"/>
      <c r="B37" s="32"/>
      <c r="C37" s="32"/>
      <c r="D37" s="32"/>
      <c r="E37" s="32"/>
      <c r="F37" s="99"/>
      <c r="G37" s="99"/>
      <c r="H37" s="100"/>
      <c r="K37" s="97"/>
    </row>
    <row r="38" spans="1:13" ht="12.75" customHeight="1">
      <c r="A38" s="57" t="s">
        <v>125</v>
      </c>
      <c r="B38" s="32"/>
      <c r="C38" s="32"/>
      <c r="D38" s="32"/>
      <c r="E38" s="32"/>
      <c r="F38" s="99"/>
      <c r="G38" s="99"/>
      <c r="H38" s="100"/>
      <c r="K38" s="97"/>
    </row>
    <row r="39" spans="1:13">
      <c r="A39" s="32" t="s">
        <v>458</v>
      </c>
      <c r="B39" s="32"/>
      <c r="C39" s="32"/>
      <c r="D39" s="32"/>
      <c r="E39" s="32"/>
      <c r="F39" s="575">
        <f>-((SFP!I34-SCE!F13)-SFP!G34)</f>
        <v>0</v>
      </c>
      <c r="G39" s="383"/>
      <c r="H39" s="508">
        <v>0</v>
      </c>
      <c r="K39" s="106"/>
    </row>
    <row r="40" spans="1:13">
      <c r="A40" s="32" t="s">
        <v>460</v>
      </c>
      <c r="B40" s="32"/>
      <c r="C40" s="32"/>
      <c r="D40" s="32"/>
      <c r="E40" s="32"/>
      <c r="F40" s="575">
        <f>SFP!G50-SFP!I50</f>
        <v>0</v>
      </c>
      <c r="G40" s="383"/>
      <c r="H40" s="314">
        <v>199983.71667500099</v>
      </c>
      <c r="K40" s="106"/>
    </row>
    <row r="41" spans="1:13">
      <c r="A41" s="32" t="s">
        <v>298</v>
      </c>
      <c r="B41" s="32"/>
      <c r="C41" s="32"/>
      <c r="D41" s="32"/>
      <c r="E41" s="32"/>
      <c r="F41" s="575">
        <v>0</v>
      </c>
      <c r="G41" s="383"/>
      <c r="H41" s="508">
        <v>0</v>
      </c>
      <c r="K41" s="106"/>
    </row>
    <row r="42" spans="1:13">
      <c r="A42" s="32" t="s">
        <v>245</v>
      </c>
      <c r="B42" s="32"/>
      <c r="C42" s="32"/>
      <c r="D42" s="32"/>
      <c r="E42" s="32"/>
      <c r="F42" s="575">
        <f>SFP!G30-SFP!I30</f>
        <v>0</v>
      </c>
      <c r="G42" s="383"/>
      <c r="H42" s="376"/>
      <c r="K42" s="106"/>
    </row>
    <row r="43" spans="1:13" ht="4.5" customHeight="1">
      <c r="B43" s="32"/>
      <c r="C43" s="32"/>
      <c r="D43" s="32"/>
      <c r="E43" s="32"/>
      <c r="F43" s="313"/>
      <c r="G43" s="399"/>
      <c r="H43" s="400"/>
      <c r="K43" s="101"/>
    </row>
    <row r="44" spans="1:13" ht="3" customHeight="1">
      <c r="A44" s="32"/>
      <c r="B44" s="32"/>
      <c r="C44" s="32"/>
      <c r="D44" s="32"/>
      <c r="E44" s="32"/>
      <c r="F44" s="576"/>
      <c r="G44" s="396"/>
      <c r="H44" s="401"/>
      <c r="K44" s="101"/>
    </row>
    <row r="45" spans="1:13">
      <c r="A45" s="57" t="s">
        <v>126</v>
      </c>
      <c r="B45" s="32"/>
      <c r="C45" s="32"/>
      <c r="D45" s="32"/>
      <c r="E45" s="32"/>
      <c r="F45" s="575">
        <f>SUM(F39:F44)</f>
        <v>0</v>
      </c>
      <c r="G45" s="382"/>
      <c r="H45" s="376">
        <f>SUM(H39:H44)</f>
        <v>199983.71667500099</v>
      </c>
      <c r="K45" s="106"/>
    </row>
    <row r="46" spans="1:13" ht="2.25" customHeight="1">
      <c r="A46" s="57"/>
      <c r="B46" s="32"/>
      <c r="C46" s="32"/>
      <c r="D46" s="32"/>
      <c r="E46" s="32"/>
      <c r="F46" s="402"/>
      <c r="G46" s="382"/>
      <c r="H46" s="403"/>
      <c r="K46" s="106"/>
    </row>
    <row r="47" spans="1:13" ht="11.25" customHeight="1">
      <c r="A47" s="32"/>
      <c r="B47" s="32"/>
      <c r="C47" s="32"/>
      <c r="D47" s="32"/>
      <c r="E47" s="32"/>
      <c r="F47" s="99"/>
      <c r="G47" s="99"/>
      <c r="H47" s="100"/>
      <c r="K47" s="97"/>
    </row>
    <row r="48" spans="1:13">
      <c r="A48" s="57" t="s">
        <v>127</v>
      </c>
      <c r="B48" s="32"/>
      <c r="C48" s="32"/>
      <c r="D48" s="32"/>
      <c r="E48" s="32"/>
      <c r="F48" s="375">
        <f>F28+F35+F45</f>
        <v>4173895.7639999986</v>
      </c>
      <c r="G48" s="99"/>
      <c r="H48" s="376">
        <f>H28+H35+H45+1</f>
        <v>-78849.603999998857</v>
      </c>
      <c r="K48" s="67"/>
    </row>
    <row r="49" spans="1:11">
      <c r="A49" s="32" t="s">
        <v>128</v>
      </c>
      <c r="B49" s="32"/>
      <c r="C49" s="32"/>
      <c r="D49" s="32"/>
      <c r="E49" s="32"/>
      <c r="F49" s="375">
        <f>H51</f>
        <v>25249.396000001143</v>
      </c>
      <c r="G49" s="99"/>
      <c r="H49" s="384">
        <v>104099</v>
      </c>
      <c r="K49" s="323"/>
    </row>
    <row r="50" spans="1:11" ht="3.75" customHeight="1">
      <c r="A50" s="32"/>
      <c r="B50" s="32"/>
      <c r="C50" s="32"/>
      <c r="D50" s="32"/>
      <c r="E50" s="32"/>
      <c r="F50" s="102"/>
      <c r="G50" s="99"/>
      <c r="H50" s="103"/>
      <c r="K50" s="381"/>
    </row>
    <row r="51" spans="1:11">
      <c r="A51" s="57" t="s">
        <v>129</v>
      </c>
      <c r="B51" s="32"/>
      <c r="C51" s="32"/>
      <c r="D51" s="32"/>
      <c r="E51" s="32"/>
      <c r="F51" s="99">
        <f>SUM(F48:F50)</f>
        <v>4199145.16</v>
      </c>
      <c r="G51" s="99"/>
      <c r="H51" s="100">
        <f>SUM(H48:H50)</f>
        <v>25249.396000001143</v>
      </c>
      <c r="K51" s="47"/>
    </row>
    <row r="52" spans="1:11" ht="4.5" customHeight="1" thickBot="1">
      <c r="A52" s="57"/>
      <c r="B52" s="32"/>
      <c r="C52" s="32"/>
      <c r="D52" s="32"/>
      <c r="E52" s="32"/>
      <c r="F52" s="404"/>
      <c r="G52" s="99"/>
      <c r="H52" s="405"/>
      <c r="K52" s="47"/>
    </row>
    <row r="53" spans="1:11" ht="14.5" customHeight="1" thickTop="1">
      <c r="A53" s="57"/>
      <c r="B53" s="32"/>
      <c r="C53" s="32"/>
      <c r="D53" s="32"/>
      <c r="E53" s="32"/>
      <c r="F53" s="99"/>
      <c r="G53" s="99"/>
      <c r="H53" s="100"/>
      <c r="K53" s="47"/>
    </row>
    <row r="54" spans="1:11">
      <c r="A54" s="57" t="s">
        <v>130</v>
      </c>
      <c r="B54" s="32"/>
      <c r="C54" s="32"/>
      <c r="D54" s="32"/>
      <c r="E54" s="32"/>
      <c r="F54" s="382"/>
      <c r="G54" s="382"/>
      <c r="H54" s="406"/>
      <c r="J54" s="313">
        <f>F55-F51</f>
        <v>0</v>
      </c>
      <c r="K54" s="97"/>
    </row>
    <row r="55" spans="1:11">
      <c r="A55" s="32" t="s">
        <v>131</v>
      </c>
      <c r="B55" s="32"/>
      <c r="C55" s="32"/>
      <c r="D55" s="32"/>
      <c r="E55" s="32"/>
      <c r="F55" s="382">
        <f>+SFP!G19</f>
        <v>4199145.16</v>
      </c>
      <c r="G55" s="382"/>
      <c r="H55" s="406">
        <f>+SFP!I19</f>
        <v>25248</v>
      </c>
      <c r="K55" s="106"/>
    </row>
    <row r="56" spans="1:11" ht="7.15" customHeight="1" thickBot="1">
      <c r="A56" s="32"/>
      <c r="B56" s="32"/>
      <c r="C56" s="32"/>
      <c r="D56" s="32"/>
      <c r="E56" s="32"/>
      <c r="F56" s="404"/>
      <c r="G56" s="99"/>
      <c r="H56" s="405"/>
      <c r="K56" s="47"/>
    </row>
    <row r="57" spans="1:11" ht="3" customHeight="1" thickTop="1">
      <c r="A57" s="32"/>
      <c r="B57" s="32"/>
      <c r="C57" s="32"/>
      <c r="D57" s="32"/>
      <c r="E57" s="32"/>
      <c r="F57" s="232"/>
      <c r="G57" s="232"/>
      <c r="H57" s="232"/>
      <c r="K57" s="97"/>
    </row>
    <row r="58" spans="1:11">
      <c r="A58" s="32"/>
      <c r="B58" s="32"/>
      <c r="C58" s="32"/>
      <c r="D58" s="32"/>
      <c r="E58" s="32"/>
      <c r="F58" s="99"/>
      <c r="G58" s="99"/>
      <c r="H58" s="100"/>
      <c r="K58" s="97"/>
    </row>
    <row r="59" spans="1:11">
      <c r="A59" s="32"/>
      <c r="B59" s="32"/>
      <c r="C59" s="32"/>
      <c r="D59" s="32"/>
      <c r="E59" s="32"/>
      <c r="F59" s="100"/>
      <c r="G59" s="99"/>
      <c r="H59" s="100"/>
      <c r="K59" s="97"/>
    </row>
    <row r="60" spans="1:11">
      <c r="A60" s="32"/>
      <c r="B60" s="32"/>
      <c r="C60" s="32"/>
      <c r="D60" s="32"/>
      <c r="E60" s="32"/>
      <c r="F60" s="99"/>
      <c r="G60" s="99"/>
      <c r="H60" s="100"/>
      <c r="K60" s="97"/>
    </row>
    <row r="61" spans="1:11">
      <c r="A61" s="32"/>
      <c r="B61" s="32"/>
      <c r="C61" s="32"/>
      <c r="D61" s="32"/>
      <c r="E61" s="32"/>
      <c r="F61" s="57"/>
      <c r="G61" s="57"/>
      <c r="H61" s="32"/>
    </row>
    <row r="62" spans="1:11">
      <c r="A62" s="32"/>
      <c r="B62" s="32"/>
      <c r="C62" s="32"/>
      <c r="D62" s="32"/>
      <c r="E62" s="32"/>
      <c r="F62" s="316"/>
      <c r="G62" s="57"/>
      <c r="H62" s="32"/>
    </row>
  </sheetData>
  <mergeCells count="3">
    <mergeCell ref="A1:H1"/>
    <mergeCell ref="A2:H2"/>
    <mergeCell ref="A3:H3"/>
  </mergeCells>
  <pageMargins left="0.83333333333333337" right="0.25" top="0.7416666666666667" bottom="0.75" header="0.3" footer="0.3"/>
  <pageSetup paperSize="9" orientation="portrait" r:id="rId1"/>
  <headerFooter>
    <oddFooter>&amp;C10</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4</vt:i4>
      </vt:variant>
    </vt:vector>
  </HeadingPairs>
  <TitlesOfParts>
    <vt:vector size="32" baseType="lpstr">
      <vt:lpstr>COV</vt:lpstr>
      <vt:lpstr>CONTENTS</vt:lpstr>
      <vt:lpstr>COR INF</vt:lpstr>
      <vt:lpstr>DR1</vt:lpstr>
      <vt:lpstr>DR2</vt:lpstr>
      <vt:lpstr>P &amp; L</vt:lpstr>
      <vt:lpstr>SFP</vt:lpstr>
      <vt:lpstr>SCE</vt:lpstr>
      <vt:lpstr>SCF</vt:lpstr>
      <vt:lpstr>N1-2</vt:lpstr>
      <vt:lpstr>N 3-5</vt:lpstr>
      <vt:lpstr>N6A</vt:lpstr>
      <vt:lpstr>N6</vt:lpstr>
      <vt:lpstr>N7-11</vt:lpstr>
      <vt:lpstr>N12-16</vt:lpstr>
      <vt:lpstr>N17-21</vt:lpstr>
      <vt:lpstr>P &amp; L SCH</vt:lpstr>
      <vt:lpstr>Capital Allowance</vt:lpstr>
      <vt:lpstr>Sheet1</vt:lpstr>
      <vt:lpstr>SFP (2)</vt:lpstr>
      <vt:lpstr>SPnL</vt:lpstr>
      <vt:lpstr>CIE</vt:lpstr>
      <vt:lpstr>CASHFLOW</vt:lpstr>
      <vt:lpstr>NOTE 4-9</vt:lpstr>
      <vt:lpstr>NOTE 10-13</vt:lpstr>
      <vt:lpstr>NOTE 14-17</vt:lpstr>
      <vt:lpstr>PPE</vt:lpstr>
      <vt:lpstr>TAX</vt:lpstr>
      <vt:lpstr>'N 3-5'!Print_Area</vt:lpstr>
      <vt:lpstr>'N7-11'!Print_Area</vt:lpstr>
      <vt:lpstr>'P &amp; L'!Print_Area</vt:lpstr>
      <vt:lpstr>SCF!Print_Area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MAWUMS LIMITED</dc:creator>
  <cp:lastModifiedBy>SURFACE</cp:lastModifiedBy>
  <cp:lastPrinted>2023-07-03T05:05:04Z</cp:lastPrinted>
  <dcterms:created xsi:type="dcterms:W3CDTF">2023-05-01T10:27:11Z</dcterms:created>
  <dcterms:modified xsi:type="dcterms:W3CDTF">2024-04-08T10:04:08Z</dcterms:modified>
</cp:coreProperties>
</file>