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shuf\Desktop\"/>
    </mc:Choice>
  </mc:AlternateContent>
  <xr:revisionPtr revIDLastSave="0" documentId="13_ncr:1_{001A7DC7-C685-43D0-B56D-390F8FE742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tails" sheetId="1" r:id="rId1"/>
    <sheet name="Map" sheetId="7" r:id="rId2"/>
    <sheet name="Loan" sheetId="8" r:id="rId3"/>
  </sheets>
  <definedNames>
    <definedName name="_xlnm._FilterDatabase" localSheetId="0" hidden="1">Details!$A$11:$K$40</definedName>
    <definedName name="_xlchart.v5.0" hidden="1">Map!$B$1</definedName>
    <definedName name="_xlchart.v5.1" hidden="1">Map!$B$2:$B$5</definedName>
    <definedName name="_xlchart.v5.2" hidden="1">Map!$C$1</definedName>
    <definedName name="_xlchart.v5.3" hidden="1">Map!$C$2:$C$5</definedName>
    <definedName name="_xlnm.Print_Titles" localSheetId="0">Details!$11:$11</definedName>
  </definedNames>
  <calcPr calcId="191029" concurrentCalc="0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9" i="1" l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B9" i="8"/>
  <c r="B10" i="8"/>
  <c r="B28" i="8"/>
  <c r="B27" i="8"/>
  <c r="B23" i="8"/>
  <c r="B22" i="8"/>
  <c r="D19" i="8"/>
  <c r="D18" i="8"/>
  <c r="D17" i="8"/>
  <c r="D16" i="8"/>
  <c r="D15" i="8"/>
  <c r="D14" i="8"/>
  <c r="D13" i="8"/>
  <c r="D12" i="8"/>
  <c r="D11" i="8"/>
  <c r="D10" i="8"/>
  <c r="D9" i="8"/>
  <c r="D8" i="8"/>
  <c r="C8" i="8"/>
  <c r="C19" i="8"/>
  <c r="C18" i="8"/>
  <c r="C17" i="8"/>
  <c r="C16" i="8"/>
  <c r="C15" i="8"/>
  <c r="C14" i="8"/>
  <c r="C13" i="8"/>
  <c r="C12" i="8"/>
  <c r="C11" i="8"/>
  <c r="C10" i="8"/>
  <c r="C9" i="8"/>
  <c r="B11" i="8"/>
  <c r="B12" i="8"/>
  <c r="B13" i="8"/>
  <c r="B14" i="8"/>
  <c r="B15" i="8"/>
  <c r="B16" i="8"/>
  <c r="B17" i="8"/>
  <c r="B18" i="8"/>
  <c r="B19" i="8"/>
  <c r="B8" i="8"/>
  <c r="H4" i="1"/>
  <c r="H3" i="1"/>
  <c r="H2" i="1"/>
  <c r="G4" i="1"/>
  <c r="G3" i="1"/>
  <c r="G2" i="1"/>
  <c r="F4" i="1"/>
  <c r="F3" i="1"/>
  <c r="F2" i="1"/>
  <c r="C2" i="1"/>
  <c r="C5" i="1"/>
  <c r="C4" i="1"/>
  <c r="C3" i="1"/>
  <c r="B5" i="1"/>
  <c r="B4" i="1"/>
  <c r="B3" i="1"/>
  <c r="B2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K12" i="1" a="1"/>
  <c r="K12" i="1"/>
  <c r="K39" i="1" a="1"/>
  <c r="K39" i="1"/>
  <c r="K38" i="1" a="1"/>
  <c r="K38" i="1"/>
  <c r="K37" i="1" a="1"/>
  <c r="K37" i="1"/>
  <c r="K36" i="1" a="1"/>
  <c r="K36" i="1"/>
  <c r="K35" i="1" a="1"/>
  <c r="K35" i="1"/>
  <c r="K34" i="1" a="1"/>
  <c r="K34" i="1"/>
  <c r="K33" i="1" a="1"/>
  <c r="K33" i="1"/>
  <c r="K32" i="1" a="1"/>
  <c r="K32" i="1"/>
  <c r="K31" i="1" a="1"/>
  <c r="K31" i="1"/>
  <c r="K30" i="1" a="1"/>
  <c r="K30" i="1"/>
  <c r="K29" i="1" a="1"/>
  <c r="K29" i="1"/>
  <c r="K28" i="1" a="1"/>
  <c r="K28" i="1"/>
  <c r="K27" i="1" a="1"/>
  <c r="K27" i="1"/>
  <c r="K26" i="1" a="1"/>
  <c r="K26" i="1"/>
  <c r="K25" i="1" a="1"/>
  <c r="K25" i="1"/>
  <c r="K24" i="1" a="1"/>
  <c r="K24" i="1"/>
  <c r="K23" i="1" a="1"/>
  <c r="K23" i="1"/>
  <c r="K22" i="1" a="1"/>
  <c r="K22" i="1"/>
  <c r="K21" i="1" a="1"/>
  <c r="K21" i="1"/>
  <c r="K20" i="1" a="1"/>
  <c r="K20" i="1"/>
  <c r="K19" i="1" a="1"/>
  <c r="K19" i="1"/>
  <c r="K18" i="1" a="1"/>
  <c r="K18" i="1"/>
  <c r="K17" i="1" a="1"/>
  <c r="K17" i="1"/>
  <c r="K16" i="1" a="1"/>
  <c r="K16" i="1"/>
  <c r="K15" i="1" a="1"/>
  <c r="K15" i="1"/>
  <c r="K14" i="1" a="1"/>
  <c r="K14" i="1"/>
  <c r="K13" i="1" a="1"/>
  <c r="K13" i="1"/>
  <c r="E39" i="1" a="1"/>
  <c r="E39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12" i="1" a="1"/>
  <c r="E12" i="1"/>
  <c r="B3" i="8"/>
  <c r="B4" i="8"/>
  <c r="B5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<sst xmlns="http://schemas.openxmlformats.org/spreadsheetml/2006/main" count="148" uniqueCount="52">
  <si>
    <t>City</t>
  </si>
  <si>
    <t>Selling Agent</t>
  </si>
  <si>
    <t>Sale Date</t>
  </si>
  <si>
    <t>Listing Date</t>
  </si>
  <si>
    <t>Carey</t>
  </si>
  <si>
    <t>Pijuan</t>
  </si>
  <si>
    <t>Hernandez</t>
  </si>
  <si>
    <t>Number</t>
  </si>
  <si>
    <t>Cedar Hills</t>
  </si>
  <si>
    <t>Lehi</t>
  </si>
  <si>
    <t>Alpine</t>
  </si>
  <si>
    <t>American Fork</t>
  </si>
  <si>
    <t>Days on Market</t>
  </si>
  <si>
    <t>List Price</t>
  </si>
  <si>
    <t>Agent Type</t>
  </si>
  <si>
    <t>Dual Agency</t>
  </si>
  <si>
    <t>Seller's Agent</t>
  </si>
  <si>
    <t>Buyer's Agent</t>
  </si>
  <si>
    <t>DA</t>
  </si>
  <si>
    <t>SA</t>
  </si>
  <si>
    <t>BA</t>
  </si>
  <si>
    <t>Agent Commission</t>
  </si>
  <si>
    <t>Total Commission by Agent</t>
  </si>
  <si>
    <t>Location</t>
  </si>
  <si>
    <t>Average Selling Price</t>
  </si>
  <si>
    <t>Number Sold</t>
  </si>
  <si>
    <t>Bonus</t>
  </si>
  <si>
    <t>Input for Bonus</t>
  </si>
  <si>
    <t>Percent of List</t>
  </si>
  <si>
    <t>Agent Codes and Commission Rates</t>
  </si>
  <si>
    <t>Dual Agent</t>
  </si>
  <si>
    <t>Postal Code</t>
  </si>
  <si>
    <t>Total # Sold</t>
  </si>
  <si>
    <t>Sold Price</t>
  </si>
  <si>
    <t>Average Sold Price</t>
  </si>
  <si>
    <t>Highest Sold Price</t>
  </si>
  <si>
    <t>Total Sold Prices</t>
  </si>
  <si>
    <t>APR</t>
  </si>
  <si>
    <t>NPER</t>
  </si>
  <si>
    <t>Monthly Payment</t>
  </si>
  <si>
    <t>Payment Number</t>
  </si>
  <si>
    <t>Beg Balance</t>
  </si>
  <si>
    <t>Interest</t>
  </si>
  <si>
    <t>Monthly Rate</t>
  </si>
  <si>
    <t>Principal</t>
  </si>
  <si>
    <t>Cumulative Totals after Year 1</t>
  </si>
  <si>
    <t>Principal Paid</t>
  </si>
  <si>
    <t>Loan (PV)</t>
  </si>
  <si>
    <t>What if the goal is $1,400 monthly payment?</t>
  </si>
  <si>
    <t>Monthly Rate Needed</t>
  </si>
  <si>
    <t>APR Needed</t>
  </si>
  <si>
    <t>Bonus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</si>
</sst>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9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theme="4" tint="0.79998168889431442"/>
      </top>
      <bottom style="thin">
        <color theme="4" tint="0.79998168889431442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4" tint="0.79998168889431442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8">
    <xf numFmtId="0" fontId="0" fillId="0" borderId="0"/>
    <xf numFmtId="44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44" fontId="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4" fillId="0" borderId="0" applyFont="0" applyFill="0" applyBorder="0" applyAlignment="0" applyProtection="0"/>
    <xf numFmtId="0" fontId="8" fillId="0" borderId="0"/>
    <xf numFmtId="0" fontId="8" fillId="0" borderId="0"/>
    <xf numFmtId="44" fontId="2" fillId="0" borderId="0" applyFont="0" applyFill="0" applyBorder="0" applyAlignment="0" applyProtection="0"/>
    <xf numFmtId="0" fontId="8" fillId="0" borderId="0"/>
    <xf numFmtId="43" fontId="5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8" fillId="0" borderId="0"/>
    <xf numFmtId="44" fontId="2" fillId="0" borderId="0" applyFont="0" applyFill="0" applyBorder="0" applyAlignment="0" applyProtection="0"/>
    <xf numFmtId="0" fontId="8" fillId="0" borderId="0"/>
    <xf numFmtId="0" fontId="8" fillId="0" borderId="0"/>
    <xf numFmtId="44" fontId="2" fillId="0" borderId="0" applyFont="0" applyFill="0" applyBorder="0" applyAlignment="0" applyProtection="0"/>
    <xf numFmtId="0" fontId="8" fillId="0" borderId="0"/>
    <xf numFmtId="0" fontId="8" fillId="0" borderId="0"/>
    <xf numFmtId="44" fontId="2" fillId="0" borderId="0" applyFont="0" applyFill="0" applyBorder="0" applyAlignment="0" applyProtection="0"/>
    <xf numFmtId="0" fontId="8" fillId="0" borderId="0"/>
  </cellStyleXfs>
  <cellXfs count="5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64" fontId="0" fillId="0" borderId="8" xfId="1" applyNumberFormat="1" applyFont="1" applyBorder="1"/>
    <xf numFmtId="0" fontId="6" fillId="0" borderId="0" xfId="0" applyFont="1" applyAlignment="1">
      <alignment horizontal="left"/>
    </xf>
    <xf numFmtId="0" fontId="2" fillId="0" borderId="9" xfId="0" applyFont="1" applyBorder="1"/>
    <xf numFmtId="9" fontId="2" fillId="0" borderId="9" xfId="0" applyNumberFormat="1" applyFont="1" applyBorder="1"/>
    <xf numFmtId="0" fontId="2" fillId="0" borderId="10" xfId="0" applyFont="1" applyBorder="1"/>
    <xf numFmtId="0" fontId="2" fillId="0" borderId="7" xfId="0" applyFont="1" applyBorder="1"/>
    <xf numFmtId="44" fontId="0" fillId="0" borderId="0" xfId="1" applyFont="1" applyFill="1"/>
    <xf numFmtId="14" fontId="0" fillId="0" borderId="0" xfId="0" applyNumberFormat="1"/>
    <xf numFmtId="0" fontId="0" fillId="0" borderId="7" xfId="0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/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/>
    <xf numFmtId="0" fontId="3" fillId="3" borderId="2" xfId="0" applyFont="1" applyFill="1" applyBorder="1"/>
    <xf numFmtId="0" fontId="3" fillId="3" borderId="3" xfId="0" applyFont="1" applyFill="1" applyBorder="1" applyAlignment="1">
      <alignment horizontal="center" wrapText="1"/>
    </xf>
    <xf numFmtId="0" fontId="0" fillId="3" borderId="2" xfId="0" applyFill="1" applyBorder="1"/>
    <xf numFmtId="0" fontId="0" fillId="3" borderId="3" xfId="0" applyFill="1" applyBorder="1"/>
    <xf numFmtId="10" fontId="0" fillId="0" borderId="5" xfId="2" applyNumberFormat="1" applyFont="1" applyBorder="1" applyAlignment="1">
      <alignment horizontal="center"/>
    </xf>
    <xf numFmtId="10" fontId="2" fillId="0" borderId="5" xfId="2" applyNumberFormat="1" applyFont="1" applyBorder="1" applyAlignment="1">
      <alignment horizontal="center"/>
    </xf>
    <xf numFmtId="10" fontId="0" fillId="0" borderId="8" xfId="2" applyNumberFormat="1" applyFont="1" applyBorder="1" applyAlignment="1">
      <alignment horizontal="center"/>
    </xf>
    <xf numFmtId="8" fontId="0" fillId="0" borderId="0" xfId="0" applyNumberFormat="1"/>
    <xf numFmtId="165" fontId="0" fillId="0" borderId="0" xfId="3" applyNumberFormat="1" applyFont="1"/>
    <xf numFmtId="0" fontId="0" fillId="0" borderId="0" xfId="0" applyAlignment="1">
      <alignment horizontal="right" indent="4"/>
    </xf>
    <xf numFmtId="0" fontId="3" fillId="3" borderId="0" xfId="0" applyFont="1" applyFill="1"/>
    <xf numFmtId="0" fontId="0" fillId="3" borderId="0" xfId="0" applyFill="1"/>
    <xf numFmtId="0" fontId="2" fillId="3" borderId="0" xfId="0" applyFont="1" applyFill="1"/>
    <xf numFmtId="0" fontId="3" fillId="2" borderId="0" xfId="0" applyFont="1" applyFill="1"/>
    <xf numFmtId="0" fontId="6" fillId="0" borderId="0" xfId="0" applyFont="1" applyAlignment="1">
      <alignment horizontal="center"/>
    </xf>
    <xf numFmtId="0" fontId="3" fillId="2" borderId="0" xfId="0" applyFont="1" applyFill="1" applyAlignment="1">
      <alignment horizontal="center" wrapText="1"/>
    </xf>
    <xf numFmtId="0" fontId="7" fillId="3" borderId="1" xfId="0" applyFont="1" applyFill="1" applyBorder="1" applyAlignment="1">
      <alignment horizontal="left"/>
    </xf>
    <xf numFmtId="9" fontId="0" fillId="0" borderId="5" xfId="0" applyNumberFormat="1" applyBorder="1" applyAlignment="1">
      <alignment horizontal="right"/>
    </xf>
    <xf numFmtId="1" fontId="0" fillId="0" borderId="5" xfId="3" applyNumberFormat="1" applyFont="1" applyBorder="1" applyAlignment="1">
      <alignment horizontal="right"/>
    </xf>
    <xf numFmtId="0" fontId="8" fillId="0" borderId="0" xfId="4"/>
    <xf numFmtId="0" fontId="1" fillId="0" borderId="0" xfId="5" applyFont="1"/>
    <xf numFmtId="0" fontId="8" fillId="0" borderId="0" xfId="7" applyAlignment="1">
      <alignment horizontal="right" indent="2"/>
    </xf>
    <xf numFmtId="164" fontId="1" fillId="0" borderId="0" xfId="8" applyNumberFormat="1" applyFont="1" applyFill="1" applyBorder="1" applyAlignment="1"/>
    <xf numFmtId="14" fontId="1" fillId="0" borderId="0" xfId="9" applyNumberFormat="1" applyFont="1"/>
    <xf numFmtId="0" fontId="2" fillId="0" borderId="0" xfId="10" applyFont="1"/>
    <xf numFmtId="10" fontId="8" fillId="0" borderId="0" xfId="11" applyNumberFormat="1"/>
    <xf numFmtId="10" fontId="0" fillId="0" borderId="0" xfId="12" applyNumberFormat="1" applyFont="1"/>
    <xf numFmtId="0" fontId="1" fillId="0" borderId="0" xfId="13" applyFont="1" applyAlignment="1">
      <alignment horizontal="center"/>
    </xf>
    <xf numFmtId="44" fontId="0" fillId="0" borderId="0" xfId="15" applyFont="1"/>
    <xf numFmtId="44" fontId="8" fillId="0" borderId="0" xfId="16" applyNumberFormat="1"/>
    <xf numFmtId="165" fontId="1" fillId="0" borderId="0" xfId="17" applyNumberFormat="1" applyFont="1" applyFill="1" applyBorder="1" applyAlignment="1"/>
    <xf numFmtId="164" fontId="0" fillId="0" borderId="0" xfId="18" applyNumberFormat="1" applyFont="1"/>
    <xf numFmtId="0" fontId="6" fillId="0" borderId="4" xfId="19" applyFont="1" applyBorder="1" applyAlignment="1">
      <alignment horizontal="left"/>
    </xf>
    <xf numFmtId="164" fontId="0" fillId="0" borderId="0" xfId="20" applyNumberFormat="1" applyFont="1" applyBorder="1"/>
    <xf numFmtId="0" fontId="8" fillId="0" borderId="5" xfId="21" applyBorder="1" applyAlignment="1">
      <alignment horizontal="center"/>
    </xf>
    <xf numFmtId="0" fontId="6" fillId="0" borderId="6" xfId="22" applyFont="1" applyBorder="1" applyAlignment="1">
      <alignment horizontal="left"/>
    </xf>
    <xf numFmtId="164" fontId="0" fillId="0" borderId="7" xfId="23" applyNumberFormat="1" applyFont="1" applyBorder="1"/>
    <xf numFmtId="0" fontId="8" fillId="0" borderId="8" xfId="24" applyBorder="1" applyAlignment="1">
      <alignment horizontal="center"/>
    </xf>
    <xf numFmtId="0" fontId="6" fillId="0" borderId="9" xfId="25" applyFont="1" applyBorder="1" applyAlignment="1">
      <alignment horizontal="left"/>
    </xf>
    <xf numFmtId="164" fontId="0" fillId="0" borderId="5" xfId="26" applyNumberFormat="1" applyFont="1" applyBorder="1"/>
    <xf numFmtId="0" fontId="6" fillId="0" borderId="10" xfId="27" applyFont="1" applyBorder="1" applyAlignment="1">
      <alignment horizontal="left"/>
    </xf>
  </cellXfs>
  <cellStyles count="28">
    <cellStyle name="3Kq7/luaLwk/N4W/7FQu7Idqm1BmzpbhJ0KcSfIQbig=-~OD0MfSmwzbw0YLwuzf1geA==" xfId="5" xr:uid="{00000000-0005-0000-0000-000005000000}"/>
    <cellStyle name="AvliXGv24ZtWfczYioLsxk67ychfX2mXOm+WoUem0QI=-~GsIvZZ3ATlc1/jIkpRjRCw==" xfId="17" xr:uid="{00000000-0005-0000-0000-000011000000}"/>
    <cellStyle name="BGdVVRhfJj59mHPgTYLT020Y5J/K1hITlpPj/qPywMQ=-~xALL9+DB5pAufinpYXbU6Q==" xfId="6" xr:uid="{00000000-0005-0000-0000-000006000000}"/>
    <cellStyle name="Comma" xfId="3" builtinId="3"/>
    <cellStyle name="Currency" xfId="1" builtinId="4"/>
    <cellStyle name="G6NJaXbkWyLqRv4aQibPH0cKytDEgKhnSYVMwe22UtM=-~0ayAwTUYByreXfMQtRBFNg==" xfId="7" xr:uid="{00000000-0005-0000-0000-000007000000}"/>
    <cellStyle name="gb0q6oHxPUOSwQx/j4AJw3qkVeJj9vcD3YI/nEMn0Bg=-~bYAfS5kyU3mUEA8RBRfe+g==" xfId="27" xr:uid="{00000000-0005-0000-0000-00001B000000}"/>
    <cellStyle name="Go2tGpOqLLBSde1lSnOlkAZBukILSN3ICgwUmwCacwg=-~1hj0/yg7+ZchCSw591xWhQ==" xfId="24" xr:uid="{00000000-0005-0000-0000-000018000000}"/>
    <cellStyle name="GUfaTEmldbO7/NPcgKOt+F7XhViIAQ6gS48uYMWKjQI=-~lUJYNG7nR1aQHRuClCHxHg==" xfId="4" xr:uid="{00000000-0005-0000-0000-000004000000}"/>
    <cellStyle name="hELTM9Rd2UiYjRm4dcwOTsbeZa1RUGDGdIB4SoXuDPg=-~EmqQEO9AwyrI1D2O3zD4CA==" xfId="20" xr:uid="{00000000-0005-0000-0000-000014000000}"/>
    <cellStyle name="hMWMk9jQXwMkcrhTzmAV8mrdyAPIMtKA4oMKw37+ZYI=-~m1jreH8NLGybnOVNSGYYDg==" xfId="26" xr:uid="{00000000-0005-0000-0000-00001A000000}"/>
    <cellStyle name="JNRR7Ln3NnJrjr4RPfHMu2ZgRyxMMaXddrMlrugwWhQ=-~eRMn9w4ZdloS17ICbJShAA==" xfId="14" xr:uid="{00000000-0005-0000-0000-00000E000000}"/>
    <cellStyle name="Jwj0GtwP/FCuiI1LPIggm9PWybhHKNTeOGrGCEnEq9M=-~cxawewXglbdZH7vIOgdwxA==" xfId="13" xr:uid="{00000000-0005-0000-0000-00000D000000}"/>
    <cellStyle name="MhKhUyEKQxp2MWA/sC6ierHMXuLNBXfp1KX7gGUR6FU=-~AaYTOxFj1h1vPAfipL4VYQ==" xfId="18" xr:uid="{00000000-0005-0000-0000-000012000000}"/>
    <cellStyle name="MRiA7xEUzr3hUPEpr4kEORbMSdOKnD/hVGsm4aXdPqo=-~WTdyJplYv4QBN+MtQ82Q6A==" xfId="19" xr:uid="{00000000-0005-0000-0000-000013000000}"/>
    <cellStyle name="Normal" xfId="0" builtinId="0"/>
    <cellStyle name="Oqita9qTfuuFeny/8XoNCaH+PqNNDQ79+c2QvcOYxlo=-~Qv3CfHfldGqW+J8REhCmFA==" xfId="21" xr:uid="{00000000-0005-0000-0000-000015000000}"/>
    <cellStyle name="p2rMGXBRb9zS2ykziula5cJvKuSGUUNuquJA9wjrSl0=-~42GLf8/AJ9r0wZmErUg3wQ==" xfId="16" xr:uid="{00000000-0005-0000-0000-000010000000}"/>
    <cellStyle name="P3+6lSVbYgzMrNRs7s/cHR22q0KSfnhCG61rYBGC1Hc=-~U/dFA/q1BeRoEndrgUFiGg==" xfId="10" xr:uid="{00000000-0005-0000-0000-00000A000000}"/>
    <cellStyle name="Percent" xfId="2" builtinId="5"/>
    <cellStyle name="pNwxyqEvCJ2cgGxsbqmPztl1J3tRAMn10YS18qVLyhw=-~9jqMh6jq9kiirT3UqOan1w==" xfId="23" xr:uid="{00000000-0005-0000-0000-000017000000}"/>
    <cellStyle name="pzChD2448gDekI+60WeZkBu/YG6oT3fOJG0o7iQAJUY=-~yEcVH6gtHutQgWyYLUTkDQ==" xfId="15" xr:uid="{00000000-0005-0000-0000-00000F000000}"/>
    <cellStyle name="RhsNlPfyxprTx5gdA2JDHYlDnOa0QG3dwIJTtJut6Oc=-~6k5varuMFbenYlZisGoD2Q==" xfId="22" xr:uid="{00000000-0005-0000-0000-000016000000}"/>
    <cellStyle name="tOViftIsG+7HqT6J6eN0BVKah8n8Zi/iLkymCss1CrM=-~RXDn/GQJw1dF3LR7x9Wptg==" xfId="9" xr:uid="{00000000-0005-0000-0000-000009000000}"/>
    <cellStyle name="v6QSG5Qmr5gr7dEO8/QulJkkv9Uz0HYD26gcI2Bq0Mo=-~w+F7gPKib4cR2WO0TEc5Zw==" xfId="25" xr:uid="{00000000-0005-0000-0000-000019000000}"/>
    <cellStyle name="XLGQfh2PlqIETST1fbJbUW0O/P6FvrZqVie3hc0V3dc=-~DtndLhvQxVUQ98OO6fzuRg==" xfId="8" xr:uid="{00000000-0005-0000-0000-000008000000}"/>
    <cellStyle name="XLvu6jpIzbRwXNT7O6iHSosP7NyrRkroiQRm8OAIMAs=-~8dwrQeas2R/jwoAZPCUfFg==" xfId="11" xr:uid="{00000000-0005-0000-0000-00000B000000}"/>
    <cellStyle name="yiW95E7F1+Tx1ha6kgaaehpPzgMweoi3U9PStJTMZeM=-~aO88Mcn5G/5/u4McxeaxaA==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</cx:f>
        <cx:nf>_xlchart.v5.0</cx:nf>
      </cx:strDim>
      <cx:numDim type="colorVal">
        <cx:f>_xlchart.v5.3</cx:f>
        <cx:nf>_xlchart.v5.2</cx:nf>
      </cx:numDim>
    </cx:data>
  </cx:chartData>
  <cx:chart>
    <cx:title pos="t" align="ctr" overlay="0">
      <cx:tx>
        <cx:txData>
          <cx:v>Average Selling Price by Zip Code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Average Selling Price by Zip Code</a:t>
          </a:r>
        </a:p>
      </cx:txPr>
    </cx:title>
    <cx:plotArea>
      <cx:plotAreaRegion>
        <cx:series layoutId="regionMap" uniqueId="{EC818D4E-65BB-429B-B0EA-44F2D054E82D}">
          <cx:tx>
            <cx:txData>
              <cx:f>_xlchart.v5.2</cx:f>
              <cx:v>Average Selling Price</cx:v>
            </cx:txData>
          </cx:tx>
          <cx:dataLabels>
            <cx:visibility seriesName="0" categoryName="0" value="1"/>
          </cx:dataLabels>
          <cx:dataId val="0"/>
          <cx:layoutPr>
            <cx:regionLabelLayout val="showAll"/>
            <cx:geography viewedRegionType="dataOnly" cultureLanguage="en-US" cultureRegion="US" attribution="Powered by Bing">
              <cx:geoCache provider="{E9337A44-BEBE-4D9F-B70C-5C5E7DAFC167}">
                <cx:binary>3HvZcty4kuivOPw8dAPceWJ6IgbgVqxVUml9YZSkMgnuBHf+zXzM/a+bZFkqqezuc/pER9yJK8sQ
tgTBBHJP/udL/4+X5HjgX/o0yap/vPS/fw3ruvjHb79VL+ExPVTfUvbC8yr/Xn97ydPf8u/f2cvx
t1d+6FgW/CYiLP/2Eh54fey//td/wmrBMV/lL4ea5dlVc+TD9bFqkrr6k7FfDn0p8qo+JDR/Pf7+
VZcRkr9+OWY1q4f9UEDXefjrl98uV/jpaV8S2FDdTGvJ6JusYEPXRWzMP9rXL0meBT+GBYzxN02T
NF2XlbdHbg7p2y7+48vt/q37p53M+zi8vvJjVX358ffH7k9wh9eUZSaras5e6t+/Tkt96hKhrz6E
X2jeZPXw9cvL9HfCYQDohLGM1cfXLzf1oT5WX3+FogRQnwCSfv/630nBsuPXL6zK59X4cMLl7c2M
sN8+H9UlBj8gTFG/YQUDujCcwvQjfUKYKH1TDFnXMVJO+DTe0PMJaytWh80hY4e30b+GvA/gnxD2
+9cbdmgS1vyMSC/P2P/5n5hVX94Q/mXdZOyFFTOGfkLuh0ecL9f73Tsj9n3dn3G7gvOEy/gTbi86
4Hpe9HyglMuT+GdDl7dAFf8Qw3+ZUCRNUURVlk7njj+d+4lQZEXDoqjPE2D8RKHvB6+K/x65vMFd
HPXfSy4Tos6nugMmWB2y+ovD8/bvIBtBVL4hHRkycJLPiFPQNxFJkqSrZw70C8QRfhhZ8obTf51c
JuS9wV4gcHf9061/m3lx5S+Qk2f1YcJMVQH9XnIUAqv+v771E1M64fAnRP31W2/IhiyJv+R2p1tv
KLqkvQuk9+uOpH/vur/BXZzW33vdT2z7XTqkRxBBh+yLnfP45yP9y0JCUr8ZGjJEHRsnZjET17tU
FeVvmiip+htS0c+84suEBYcfjy9AfX9wlH8oXz8BX6DxJm/q8MizL/99DI6H7GdBsWZJDtL0Qta+
beWCMOBJH9nGDfueTcCXNOH8L6AJ+W+kCRljCYv4dLaTLnapMukaEmVV/1n4y/8mUbzBXZzm30sU
E4rOMmB1DNnPR/mXaWHi/FgBDVJT0Ukl+lkAYElVdOWNHIBYLgTA9PZvrPmvEsNH2Avs/esC4DNm
dv/7BMAFuV6oxp/eG5807Y94/DT+Fy0IyfgmiXC86E3j/YUFoWq6KIqq+vlgJ93+reckpz7v49f8
7QT1aebphf4cBZcs6Y/u8YUq+k+U04vZH7TTd6PLPNQHazbV/uXRN6X3AvSTHPiEgDcsLl5//yrJ
qgiIfrcCp0U+0dNHtH8AAIUPbDABI+MbUpCu60jFiijJwN2642kIy9+QikRDwUg2dCTDSWc5r0Mw
I8VvCMMB60DjoMdhGSRaNUka2I/2beKTElKwpmg6FpV3y3iXJ0OQZ++o+tH+kjXpLmdZXf3+VQTd
YjLt5onTbmFrsiFJSJKRKsmioUrwssXL4Rrsb5iP/yMvcxbmgz6sVSyEJImDPCGaohfeh6qqNVlC
WtaU3ql6OUFOHCklWmN3VTymNNfGHQsVnVRGXjuZ1tBU7Yy7Nlc6u8nlVTCUzMkGYRdquHN5o684
FzpP9mXdEvD4vc8FtsuGkVM8DMyp+jgCVUNQqSCPIVH7QKMSFwcn0oJNOnaN14XRYyiMDyGONJL4
HXMLWYhJ3PWOmDalnWqGTA0ZV05SqrGZNjEiFeuUkc5voqdGlm/nqoBzfbyZq3I6Ju1SH/PObP26
IqFQqD8AWJO8oeLDMjPUByzNs+ZOpOoOq0bsNFHYIksb/dzDcam2D3PVb7rEluVwr0wDc9dcxIGY
eyjLil/2yV0dwVlNIInsv1VloY0TMkPOQzP4uTn3nR+TzYBz+6fqnz/9vMG5FrBCWQyM94u644WH
dFZ4c62dmnPtPFDF6EffeV6gFElCLkDOwzPI3AyTJKSIJYj+ajJW1HE8jXxY8dQ7gyuBBs+Zq0wj
7ViGp81e7On8vPPeL14lnC6FIMqteYYtehmwP7dDXxdpVrQ+KYbBj0k2l2wYM6+TI7idczVJ9MxT
09JLAp47c9dpYjYNnKec1phnnyZNw+fmh+G4CuFpjRzn3qk6z7pYbm7+8fD8iA+7DGo/IKHB8o4Y
SVaSSCgzL55eZZ5ZBoIeE6MTCpPXuCWndl6xH5Pm6XNzFMLI665n0LnjvNKo1rDI3E6m5efaGTJL
OyMmZxhdaFTSpGJEeChspUIovRpnPCHKudr4GfdSLJbePN5naWwWioFIJwQBVXAsmW2jyWYnCK0Z
y1epoigLnKWV5+tN5WWsWmlDK9haLQzuyHpajBlsQmd+6p2qGKeZpwA2Y4Ly9q0694a1tpSjIHTm
1lzMgPO8c/PDknPnPDxPPMPNfb4YtzSPstAug1EHdpzmz+1Qhubo8+XY5BJwikQmqqIx4if1kz4x
8bmQqh6Yej6zdtAcCw+nvKA5yCIqN33ndQbrPVnzVTcbkRkP5WaUy32uJIMptlyDk0371FOVFU+r
YRFG8Pb69N5z7VzMfZkqFWYuji0RJnyMXMpGmpYRMHYu3ctRmYCcwKob8lJygrDrPT+AIlFxabMR
71nadynRgwp5fuvvDVW5qpjf0ILXtVczLhHWlcycmykviVzDW4htE9Ghj0cvErs6JUzHOY3bqKEq
K3KvEHvgqrw0nMBo7JqV3QI3d4rUHiS9wXZaBeWSZU2xNCoeU8OoQUIgybd7PN74iU7VokFuWY6V
Z6Cy8hRB+1GrdC67mthQaeLROuOhpagVI0NVA0+emHdV6Cwhc/XcyVq0lbpwtPuJguYiVIBcz825
xgcB21Iqb9qJkOYiDnnlaBleGFoypCRUEfKEYFuiWnBUrhamUHRAAkNaYaoGVUUF1JoZb3ai0Xan
iyhNJ3e+fnNt7isTPhCtlRMz0dBSyPPE0ScqKAYJ3pkbXULO7blWik0PDzP44OpSYgpa23txoU0n
LBXA8LIwstjcDnUY6ksfTqUTW5rJWi1bld+U5oCykTR6J2CKRrn3TtW6dI2mEhfhONp+x2Uv4HpJ
ggKpJAiAAMPM8OIc66eibBZyN4BAbiLdq3mle5U0yibTM07yWgoS0o9SZWqBLcRm2FsSEHJPeA8a
jYuHqyqyhxuUESlcVDf9kx46jU/0nLCMjneJK3zPQyeQzDKlSCRwFeNXFpF4x1qnCB6aFNYyOXKH
5sF6kYpN2RK5csXQRKHV9iK1tJZZYmUpQUgHzc10ysZNgHZ4sEr5tfEPbTotHXEqGRRnVtKb9V0X
mlywUHhIpVXDSJZ4er9sdDcJ7DAzI8NU84dwWKTjURStSOlIEXqss5Vg0aoUCTTWSRfTVm/tTr5V
ZVdWFpK0bIN77agWi0G5VQwrbyyOXR6tc/UulJwyWfmhpYskHZZyvMrCNUeLArk6N6vaylsqh844
krGpzUJyKkCnKJAKGI4M22JrXNLGWAg6lUYqfO+LimhiRrrmgfcmHi1Y0S+2YUrSzA4RFZrVoF9n
idM196lQkSbYFfWr2jrc05dabJYF0VtHYV40UK03s2QRCgrVdVduvDr1gvhaS0DEUR9tgtZTdbdK
qa+70qELRpLlDmq8Il6I8SqtFm1Jc7QJDVq1JAT8Snsm3Y0JSXdD4Awi6KgOykn9XUwoeuB3uuD1
yJW+RyrBoK9t8TqtTCFxfcVSQ4v5JDecZKTtXbTsDavbBszEt/WamZJuBTWNfTuXSFwvBnXRS04R
LtKIKPxYa3RMlkG+1mOKmZv7tjqudPE5GkGlBjbZkGpcIeMqF8xcdXTuhKPHtV3cLCPmtSPQhUT6
JCJR/D0P7uRqHcA9WhbGhO9oJChwIng3lQjfswD0dxN4mADXtA+9IqCBZKlwgK0zFkvlO9CsrLyG
oxX2Zimaeu3h7zm/yuJFMVIJTQgDPAllRPzag9spam6pLyLBSlMqlVRtCSxWP+XNUukp6+08s4ea
CiVRDJpFa9ZYmUE7mWr6EtUu7k20Kq4VwcLy3ki8EblyaFaLtHZ9bvaVreXLZLQ6DqrDSutGUnGz
UElSEXk1xgOx+qf+NuQkcrFhJcpVLS66UCBtu1Jqe4js3oHXDNSAKInb1ItuXKoZwcfoSRVgqz3p
KkdEZided+lKU220FwVTFh5Rtmbalj0oPZFGR209rIIGTtNHQ/IqIIXASfGu4BFB7HrsUzLKOQGq
5dECsYIGoYllW26INtAkNbtuKQZmqxAfEx57UMcDHSTaNKQWVhF/rlMnDmQS4X2jb+vE5JGbGmQc
qPpapMS41WuqWNJGDYkfEg1ks0F87oW+Vch29xh3RNWcaCBNZhepA2ZR/iD0xADGWRBJNVFpwiqV
4EQhNRITcL6By6ytjY20TJ3MzStLqG2Q43pDSB2QChAm0V6jsBMmECm32voWDCcpIMWyeVCkh7Jx
tcSq3eZafPUlK+YubE0bSeHLJNE3vHBgT37l6OlKlIgqEYMGt8V9pVCZOZKxTJaosXxk5+JN5tMa
UQNYMe5WbbdSkR0+N2wzGmbTLIRDAsdV1ogMglOxTUsMLhItouw2u0/XpRdu5b1g1eN1yOxRI2L5
JEnb0DebvCFqBjqchSKzLR0pWeN+Jchr7i+DkqTF7ZDbpW5pwtJIrtqQ9DFNr1hKsOwKiPCCDIlb
74z7FPD/kt9py0R2e1e2+E0WkkJeBFfjMpbJiK3+3qioPjgoM7vYanWSAi0LZvSAJE8dLZaJpDXc
KgFZR31GjdCMRyKAFgzUtyqEvSLQZtzLozcMVx0YpdXBQKuag2CgYUQkBQ6ZwnQlsgNOh5HI+c2+
CffD6Om6QuqasshrEktTnay5CaLv3fDYymA+VCNh4X1aVaSt12KwbcOeImggW2opSpxEv0YjSUo3
9ldq77bAWZhXIJOVh65YYWFZxQ5gKAZRqJOyJKwnmU6SkFQlMWoyQh2T9lU/wC634QOTl7B6vASD
JpSI1JJYJeFepaXTXecVwaI51lYWkaQhGdjZplRaZU/qZ6yR3Am5EzfmHpVEpaonUoFEtkaB1F+U
iBb3xWCqu9jiC/lKiu3RjsxsOexUbklPvltHNFeoZsFN06y4o+i1AHZwF+wjRtGNtukiC3aOKRBD
eN8bpu+7RkWCW3mnvxZusA7WR37fCETZRDXBAeE+HTIqwI2FhmAJtCbKdWX21HdTCjglIcUktJXr
F3IsrOalslVzESIi7qRN5oq7AZgCKAC3cjdRTHYf3SOJ4JTwe+W69amkkVQ2+8Ly92pB4G+YrGFq
l9tVu1BrM3ak3PR3vma14m3CbD1y6ooqPlVSomgk6GloGqBC5Wbd2kFnLRK4caEb1jR/qpxiy6y+
IQg5QXUN5lJOMn+kAbcHi3my2dIETkKhXLbbbDN6kkZTbD4bpKSjG4lWI9r4fiE3ZvfkB1RaDVbg
ajmpNsILusM5aESkOgRABqmXXylueoVuAy9eGxGIBJKq1I82bU3y29yJYFcOu9IfBbAMgePep7FV
5nR81mDXVgxby0iYL3IKllaog9pGoY+RyGRXVUyUmmiA9nsEFAZuIrCebvFeDGh7I95Vm8zM7Han
rPqQtLt4qVLJhMtuNwaVAWlUWUmratPu+MJ3noScjKtxVW4kWy9p4ArQNEJrDeSdjkBs0Oxbwve1
DzKD2CMoCEN2AzNyIhCwdFaKHT7WC6WFFx8s3fO9p+rQr9JNbyo50R3QPlail61CkYx2BXiMqWAl
pkFS0pBo7dOUwBQzXye2YYs02tULVafFPt4Ue+GBXfdmc4j2Bon2GkHfy7vOKhYKKUw1JvVjcK+O
RDGNvRQBiwcWYEKZ1oSb2AapcQ+cDK4OYFgGukLAZeHG9sHEw7vdeM1XekiLRbwRXMXUVsq+MDXT
p5lj7DLKbO1RANjaDNcqp+NjQ0XaE4ECh0JUCYj6KEhuTnUQLo8pvJUTOKCULJIlXIe7aF+vuu/x
RnfaVXlIQOsBz9cD+v6Qbtj1YPnfw8fsNXURYAJ4jLJUls3aEOiYEeCfN806E6ndPKFbdqXmVAXe
QiogKkb26JiZMBH1dLjFpOrJ3nhunmoRTjZellepqx/kW/44bIARAoOUD/wxepFpt4kCs7+Jl/FS
vFVpuyuv5NvYQhSQ6ohrKOloCvCA5yKmwH3simYm+AqVleaqNPfCh+nSucJ9n03srQGbtiblkwzV
NSMcOnuSXmE324JI9Moj3NX8NsnIYlxGdnU7LgPgMfV9Hlv5GqRTfJzvfX0fbcOQwG8PVGT2yxTO
KzLrmtSqJ/mU5bRAxM8o0DM71qNZ38MYEBNrTBUvdbBRADUyAbAU0CSQHGTG8/gc3Qg+jWLqdwS3
NkZEHhwFkVoHMhGe0Rr4skoVu18IPpButlO9wO0XPRzIsOlf+WMJFiiRbLjv2b4DlfwlUAlk8NwJ
29HGduDmIJEi7FacoLtOeogdtAgWbNFbIIvb0h4tyRPW0rrOmaVdp8cBVLvKDI3XeKBlQFIRRGa/
i+91jaiGHV4N18jRtuOqGa7iNV+CSqH0MdAKesypYbWuvzuyqw5Q3dM0Jng0O1CVvWjLrsb7fmaA
M5fwQbsFQSST6jY/BgSwD2+uPDcAWJI6AwcGYSAGn7u1Cozgrl5kZr/AYKod6m3pGc9pYgkC7a6N
mOoHqPHH8EFZtVu1n3Y9roKIVtdtTRtO4dzbG+0e3fJtXNB4dNKrST94ws/lE2wxKkymmOWxHVbj
PQjE9nmEY4yIkE3MGBgbqAjdugK2NFgCETkZvMF6bl3Q8MDWvJY2uhmQAHhFSAOLb4GXgph8GtN1
NzjVbbIFlpdsuzXgNXYRLS1h2QQEb0UvBAoFFYjiJ7RIOFFXhqUvgPDlAjoLqzQztwd2ozrGFjlo
k7t1bSr74J7bhTmAv4qEwMbuAvc5NAtLcfoQZFp/pa5akoPAi7aw7760MDBJRHsbrLH7EiTOs/Y6
PtYdVV7xo7LVQXZHtrHJ7ouluqiXYUWNazGyOs1qIgtEmrgDdRD8MHBpb3tXAvbMFx3lprDEN7pT
OqChwsrOTjeVa9ApuqM+vX3gtcvcGd3m2AKfcFO3oiXFbmRHN+wqvlKWmd1d21yk+F6EKxCTXjDF
2xYo8wpo1r8D3yIcoHyUmJkxC90Nh+FQ7Pg+vk439SoDLqi9GNtwr93gLU/ouPA91Uk3+hWyIjN6
fI5M4bpftkDOkjv9U3sSdoRxqt6Jh2QnKFZUkC5xy4rULRUeUOJKjMSgQlGBkQc9XIOkQXeVv9Jr
G/RiT/ViizkGuHcXYC9cRTbegJoJt1a8NTBJbODTebfo94EnL4zRzCJb1K1RO6KBUT24itUBTnGs
TW1f7w3DDDwV7hEHis2vjXvYxHPggIIfRa3dzN7WFhQrVdQksI3APprdbsLkiMw7/KM49VU+kXRR
BV8B+J/0OTow1fDkopr7Tt4oHTd23kVXYIWAE0qe3MlzMXuizs25FgydTsROkunshZr3o6PEa0Kj
MDsN38Td2C/CoCOl3xULqegorittgTvQBVu2rISnFpw5eGxtCKlYZSsyd0B54OlA1dP2mdC5WItz
F6FgK4JP3uFJAAbwVIDpoiJBXQSlmnt8cuXNtaqSuDtKnSn2EGCoosmrj5MprsCr9Ec1rhEDKdAB
u0yqfJGFKhGZDh5M/TbQeWqNgQQekiy7zsdSSUgmgcE7RhBPGqRyx2XwDTIVPA546uq7sPXCEFdm
PcTPuFbB+yIiEoWgURd9AAGqvp+U8pT2cbIeChXUoGnH4NWCiACKkEaVmBmk9gvm9GO+ESUJGG4p
bMFH6/KAJ8A4YU9SIHGi5Pd9q2m0iYeUKsYUS9Gm8MhcbXoVXBpMLoCbTtG62cc7+3XnmjYH67qy
XKZ+kDqRBO7vuRim+J3IwVF+7iuEhrk8DOwgG1pwqeCOe3WpcK+dirk5F6gAx1XbgQU2+0HnohCE
UrTmqur7V3WTtvbslz35asVRTMBeY1B2oSq4rEgKgjQJPJ6TZ3h4rylNAL7PqW8uLprzvBksFgoI
bKTZ8IT1HBzd1TFG1RH1OoXYKjCAuAFSRSBnapwvcS2KnsE3SV3Ae/XgpPQGA3GvxFLvRPm4Sf1F
1wSRKTYScCIZvOLFFJXqK4jszbVYN5ZjFsZmNPa7HKkZtvwSvIxp2WjtEkvNtik5tltBLb1RLEqv
BK86nIZ6p4l6szi15gED6ZrJAvDZf+ic4U7tudr2lpFpxVIaweeqAMMXOTiR64CD/7hSlBBiY3N9
7p6LDGKVXjIV5+Z5tKx88Li2iTNPO/efVpEazkd6HlK77EpvtNrOS02iLWKYtgNS1syAKCgRqyEG
L0NL/F5WAb1Ag34Od1uQW9EycP+YJwp3ckNenMfmWlDALH2EVEQyA0hqWSFrHpqLUhTg0OQqyUle
tKI5T5qBwHtdjxTPYcTpeb2WwMzTUufeU3sGmEHnRSMtBjE8V8/rnWbOnWfwM8xp+cvpvRJkNuft
zQXI/MBO45x2HHza52XO8y539qH9y52dH10qceKIRgSR5wlv85Ifdv/h7U7VGdI/4/jDk07VecLp
BY0G7Ew1Aa/tec9/iJP5yVrF3g7vw5PP73nxMvOyP+3g/IjxaazlWwjTPVZTUCObmP+oKD+Ki76L
5jzvog9iAODXulgGz0Gr8/S5dp4zL5GXKlhg5znn4V/1XT5mXuJi2dMcTRqva4i32c30fvociw2i
IXfKKvLqSZA3k7ydRy+a2hzhBP6cnSbqc1R1nn6qzvNz8DWJutI4v1pinjEX52VOTznv5g/hLjb2
h8vM885Pmtc79/VTFOxjTu+ntJWXvBg4C8If33S8N/9rn6fwO6e2nzunT0LOrfXbtyR/Oss55lNO
bXU5aco9el/rnKc05fu8Z9RfZBCdvj75g/SiPx38lHt0TgL9mHgEmTnwZQQkRUIut2xAIryq/Fka
0qevWH5k9vwM/5aVBJ+hKJBFpkA6kGxAktHHrCT8DT7HgPRCBZKFNN2A1KO3rCT0TdEg9UyTFUnF
EqTjvmclTd+9SBhJmoFEXYIEdPyXspJEWOlzUtLF1iHH8WNSUjDImZJlXbwR64QU6UGCuCwOsgWS
q9dSACu0aJ6DXmfEEEo37MBjP3pFVTi+VFlSZYADWXB7IwSnVVcTVS5dpSuXXWIsBxzbPMKeLJSO
MkTXWoyudbCu/fZZS40NjpGdyb0Z8HDnI2YVYv7QNP4z0hqI9mBHUIZFBka3mjaQLgTGaNu7uegf
C190Ezm7DvsMHBWaF/nGow7wUVlbMmMm10S3w09Bri6y4JlJ4SZIwd5i/U00YLuJ0FME0VACWZ/X
ddstkRBaMgd/q1+DSy7pSAQhnkTXwCGmb4xeNDMx8LJytHKE1lmt20k53BU5euaNBsJbqcBQjr5r
Ebe6AtGmVDcInKJpA04OVQ+2A+J3Td14acqvElEGp5wC/mCITwa94gwq+KhTI11DmmJL6r57wjgz
OZaJMqROH4nXap72dsn4LlW6ZY/aNSSGrASI2hfyOJno/C7ukaM2+nPYG/etjzatuNWjlPK49oqs
dnvdWGS5fJPy4Dr0B6vpGjOWwI3fNLYU6DQAL2rn19QA1VE2ILw/1gvNKCDoo4BRxXp9JQl8IUTw
odRVXXJTqScZ3O2FDLzM8WDKBnoEtRG8KcKqZv6CD6B3J2W5DZDmwH8zF8Bby9AG9BqqYcXGenEr
wY3oheoqEnx7TLd6ajcodJhY7gsN/FlDaoMB8JiWGSSY8cYSRp9ihS0k1m6MSlpDFppCRoiosYKD
3xt8BrG6boc6WLYSX1S+nJBRyGjY9DZYNdQQhoVaJIcqV1yGIgmifwLEbuonRU7BkmbDg4bhaaxz
hjbyVDwsObh5swiUJzG+yTVUm2Uz2LqGJdPgKgNruWrgpAdMyr66QVNQAILdOu4cWUUr3iQBQaNU
gPMrvA5LMFBrpli52Jl5LBFRAwsbPI+VxtZtjewkVBdqppklF+y/i5X/r+S/IobEQE3GwCM19M/4
7/RZyykN+J3/XsJ/4L+qAmmXClIkDXJEP/NfTZOnzxngE54Tkz3zXxksd8XAogzfTukK5MP/yAoF
/ivJkqECIADLU8Lom1j6JF7h+8kf7Y9ZoSo8/pL9isiQFE3WFTRlm39mv2WhDr6I1XiTYKWikaID
vXfDlSDot52ip5BjxJKFmkDOBUn66pBkLXgFe+ymiUAF5TXrj1FUIitAWWt1Bg/Bhclqpw0SCCz5
A/i6Eo3Dd3UZBDnADxWCt7GAtn808jtmxKD4DlY6tDTViq2a2YYBj0zGEOLCuHzywXETlGNEgP/R
vlW2HTbuUq2EuATehqMMsa1yYeDCritdJXIJTrF0iLYx5FOUQGz54A4qONR7keewt2iHM/Argqgx
e8QoN8DmwNWuAdsva3dJCbkXBXjRIFNXXv5/Tgnw/YUIH+vJ03c4/0wTef845AMlfIb/QAlwYaf0
aA0SrQ0FIN/zo0ETkSAhGQgQVBT4XPCjJiKrElZASZF0BIQAF/gDJYgqwrDLibAmqL9ACVj6FSng
89YN2MRHTYSlqpiWuRxvAr3eg7/B9Vmr0EGsZBLnEEJIe9Ov/Ee5AP9817brIgg1SwGGnLa7pheW
ItymNoJbxaP/y8217DaOA8EvEiA+RFKXPUgy44w3CZDHzOxJSDYZydRboizKX7+lYHbjPDHG7iHY
m2FbstVodrG7qhhXyLIclinQxaCJnGtW+yUVp27dIzPVmOkamRosKTsuyauQxW7J5lLeTo/Z/a2t
vPWUZd9KKy9MASFNi5VgSHDahR6NLG6DOdGtArowMJ62mbQP1LEL/EzAIeMX2WYCMvVAqJ7vV57r
En+BrrwKzkIpb0IwlJ0z6yEs17Mcf2+HPA4gg+Dhlw4DyNnPwPuCZ5urm3JqmqhnzcYZl+yL6rL0
7OkoVqVSkRvy7+2uuVFsr6nH47beJtVAteRpnLvuO0MDwzOL95ptNM18vfPHU5PvIQaHpKV8CFR5
SvhwTZw73bYTGjVfp6m4tzzXfYaJ89Se7fbTjywLV2nb3437QbsmPacBdC/cT3plT4TNtWeqjeVh
EsChHlE23ELWFhOZbjzoP4uaJH4vbnPWY4w5FH+mQRsZ/jXN/3CEapPbqPLmmyZEoaramPgPgahP
DK20KZe5eRdcCedhn9GHY/R/rg7oIRRXQgTADCWxhN+3S6BPWdw/z3Hy1fUH1UFRX1JUCMl8LoB4
B9UhhF9BcEGIImKxSBzgpCSS4zo0TQIOicPiEASMwjslcLgAkfSo4kAA8C9wEp0ZCxUHzuOVfOGd
GLu0s1neledpu7u1e0z/RuSaYfVGgNfyCgiuGEkYcnJecpNbTUN7N5l01dv9jw45XEsRj8hpD7nN
IPd0VX1JkfdsBnWD/iMoop48sBZcIhbHhEXisFjqZdU0ZkgqT2hbXfPRXu4g+xtnpq0xySgglgt9
TUH91mM8CVNpTmWWCObARPfTupH1jIGi0q3hX5gV9yTYDclECjB+0sgTbwBl5rI8i0mldDgHK0pT
P2J+twooKJK0amuNoeEAid8WLdUwad5SULuO3YXjSON2O54PjYqULU5s47RVLG76VKC1kGd9PfVQ
PLJVz7orhelQTPAEQ0nPy11+UpP5vgch3pr2a4vgdmAMIaJMiNmtCzbpIt/FI6EX/Qi5QQY+M5uT
rT9HEylBbatkty031GCXvx3WuWfj2YqksOocuxaUqTqpUreFNIzNsWlvKkjCBgiJenVRSi/uhsJe
fYKl/NMp9eZA4h8D0PLpo/PnuvnYMvXel/5Gzrdv9GyIcZSB6vH3Hv1bH93j6ViN40xxT3bxt//3
68nMf/D8HwxxsFN+f+v0TigOb/cUh2Wb/8v+8c8Whg9nWceG4YhTVj5bHF72hM+w8tg4YH973CEa
nywar5D/X0XjCCP5r8bhoNC+VyV+DosfTzr67S8AAAD//w==</cx:binary>
              </cx:geoCache>
            </cx:geography>
          </cx:layoutPr>
        </cx:series>
      </cx:plotAreaRegion>
    </cx:plotArea>
    <cx:legend pos="r" align="min" overlay="0"/>
  </cx:chart>
  <cx:printSettings>
    <cx:headerFooter alignWithMargins="1" differentOddEven="0" differentFirst="0">
      <cx:oddFooter>&amp;LDenzel Coleman&amp;C&amp;A&amp;R&amp;F</cx:oddFooter>
    </cx:headerFooter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4</xdr:col>
      <xdr:colOff>33528</xdr:colOff>
      <xdr:row>19</xdr:row>
      <xdr:rowOff>7239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294935F-72B0-4B0E-B841-0EC83C37AF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133475"/>
              <a:ext cx="3310128" cy="21122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L42"/>
  <sheetViews>
    <sheetView tabSelected="1" workbookViewId="0">
      <selection activeCell="L14" sqref="L14"/>
    </sheetView>
  </sheetViews>
  <sheetFormatPr defaultRowHeight="12.75" x14ac:dyDescent="0.2"/>
  <cols>
    <col min="1" max="1" width="13" customWidth="1"/>
    <col min="2" max="2" width="14.85546875" customWidth="1"/>
    <col min="3" max="3" width="13.42578125" bestFit="1" customWidth="1"/>
    <col min="4" max="4" width="11.28515625" style="2" bestFit="1" customWidth="1"/>
    <col min="5" max="5" width="13.42578125" customWidth="1"/>
    <col min="6" max="7" width="12.5703125" customWidth="1"/>
    <col min="8" max="8" width="12.28515625" bestFit="1" customWidth="1"/>
    <col min="9" max="9" width="10.140625" bestFit="1" customWidth="1"/>
    <col min="10" max="10" width="10.140625" customWidth="1"/>
    <col min="11" max="11" width="14.140625" customWidth="1"/>
    <col min="12" max="12" width="10" customWidth="1"/>
  </cols>
  <sheetData>
    <row r="1" spans="1:12" ht="25.5" customHeight="1" x14ac:dyDescent="0.2">
      <c r="A1" s="14" t="s">
        <v>23</v>
      </c>
      <c r="B1" s="15" t="s">
        <v>34</v>
      </c>
      <c r="C1" s="16" t="s">
        <v>25</v>
      </c>
      <c r="E1" s="14" t="s">
        <v>30</v>
      </c>
      <c r="F1" s="17" t="s">
        <v>32</v>
      </c>
      <c r="G1" s="15" t="s">
        <v>36</v>
      </c>
      <c r="H1" s="18" t="s">
        <v>35</v>
      </c>
      <c r="J1" s="14" t="s">
        <v>29</v>
      </c>
      <c r="K1" s="19"/>
      <c r="L1" s="20"/>
    </row>
    <row r="2" spans="1:12" x14ac:dyDescent="0.2">
      <c r="A2" s="49" t="s">
        <v>10</v>
      </c>
      <c r="B2" s="50">
        <f ca="1">AVERAGEIF(B$12:B$39,A2,G$12)</f>
        <v>601385.71428571432</v>
      </c>
      <c r="C2" s="51">
        <f>COUNTIF(B$12:B$39,A2)</f>
        <v>7</v>
      </c>
      <c r="E2" s="55" t="s">
        <v>4</v>
      </c>
      <c r="F2" s="2">
        <f>COUNTIFS(D$12:D$39,J$3,C$12:C$39,E2)</f>
        <v>3</v>
      </c>
      <c r="G2" s="50">
        <f>SUMIFS(G$12:G$39,D$12:D$39,J$3,C$12:C$39,E2)</f>
        <v>1343000</v>
      </c>
      <c r="H2" s="56">
        <f>_xlfn.MAXIFS(G$12:G$39,D$12:D$39,J$3,C$12:C$39,E2)</f>
        <v>643000</v>
      </c>
      <c r="J2" s="5" t="s">
        <v>20</v>
      </c>
      <c r="K2" s="1" t="s">
        <v>17</v>
      </c>
      <c r="L2" s="21">
        <v>2.75E-2</v>
      </c>
    </row>
    <row r="3" spans="1:12" x14ac:dyDescent="0.2">
      <c r="A3" s="49" t="s">
        <v>11</v>
      </c>
      <c r="B3" s="50">
        <f t="shared" ref="B3:B5" ca="1" si="0">AVERAGEIF(B$12:B$39,A3,G$12)</f>
        <v>385794.44444444444</v>
      </c>
      <c r="C3" s="51">
        <f t="shared" ref="C3:C5" si="1">COUNTIF(B$12:B$39,A3)</f>
        <v>9</v>
      </c>
      <c r="E3" s="55" t="s">
        <v>6</v>
      </c>
      <c r="F3" s="2">
        <f t="shared" ref="F3:F4" si="2">COUNTIFS(D$12:D$39,J$3,C$12:C$39,E3)</f>
        <v>5</v>
      </c>
      <c r="G3" s="50">
        <f t="shared" ref="G3:G4" si="3">SUMIFS(G$12:G$39,D$12:D$39,J$3,C$12:C$39,E3)</f>
        <v>2385000</v>
      </c>
      <c r="H3" s="56">
        <f t="shared" ref="H3:H4" si="4">_xlfn.MAXIFS(G$12:G$39,D$12:D$39,J$3,C$12:C$39,E3)</f>
        <v>595000</v>
      </c>
      <c r="J3" s="6" t="s">
        <v>18</v>
      </c>
      <c r="K3" s="1" t="s">
        <v>15</v>
      </c>
      <c r="L3" s="22">
        <v>5.5E-2</v>
      </c>
    </row>
    <row r="4" spans="1:12" ht="13.5" thickBot="1" x14ac:dyDescent="0.25">
      <c r="A4" s="49" t="s">
        <v>8</v>
      </c>
      <c r="B4" s="50">
        <f t="shared" ca="1" si="0"/>
        <v>640958.33333333337</v>
      </c>
      <c r="C4" s="51">
        <f t="shared" si="1"/>
        <v>6</v>
      </c>
      <c r="E4" s="57" t="s">
        <v>5</v>
      </c>
      <c r="F4" s="11">
        <f t="shared" si="2"/>
        <v>5</v>
      </c>
      <c r="G4" s="53">
        <f t="shared" si="3"/>
        <v>2871800</v>
      </c>
      <c r="H4" s="3">
        <f t="shared" si="4"/>
        <v>725900</v>
      </c>
      <c r="J4" s="7" t="s">
        <v>19</v>
      </c>
      <c r="K4" s="8" t="s">
        <v>16</v>
      </c>
      <c r="L4" s="23">
        <v>3.2500000000000001E-2</v>
      </c>
    </row>
    <row r="5" spans="1:12" ht="13.5" thickBot="1" x14ac:dyDescent="0.25">
      <c r="A5" s="52" t="s">
        <v>9</v>
      </c>
      <c r="B5" s="53">
        <f t="shared" ca="1" si="0"/>
        <v>334666.66666666669</v>
      </c>
      <c r="C5" s="54">
        <f t="shared" si="1"/>
        <v>6</v>
      </c>
    </row>
    <row r="6" spans="1:12" x14ac:dyDescent="0.2">
      <c r="A6" s="33" t="s">
        <v>22</v>
      </c>
      <c r="B6" s="16"/>
      <c r="K6" s="14" t="s">
        <v>27</v>
      </c>
      <c r="L6" s="16"/>
    </row>
    <row r="7" spans="1:12" x14ac:dyDescent="0.2">
      <c r="A7" s="55" t="s">
        <v>4</v>
      </c>
      <c r="B7" s="56"/>
      <c r="K7" s="5" t="s">
        <v>28</v>
      </c>
      <c r="L7" s="34">
        <v>1</v>
      </c>
    </row>
    <row r="8" spans="1:12" x14ac:dyDescent="0.2">
      <c r="A8" s="55" t="s">
        <v>6</v>
      </c>
      <c r="B8" s="56"/>
      <c r="K8" s="5" t="s">
        <v>12</v>
      </c>
      <c r="L8" s="35">
        <v>30</v>
      </c>
    </row>
    <row r="9" spans="1:12" ht="13.5" thickBot="1" x14ac:dyDescent="0.25">
      <c r="A9" s="57" t="s">
        <v>5</v>
      </c>
      <c r="B9" s="3"/>
      <c r="K9" s="7" t="s">
        <v>51</v>
      </c>
      <c r="L9" s="3">
        <v>1000</v>
      </c>
    </row>
    <row r="11" spans="1:12" ht="25.5" x14ac:dyDescent="0.2">
      <c r="A11" s="12" t="s">
        <v>7</v>
      </c>
      <c r="B11" s="12" t="s">
        <v>0</v>
      </c>
      <c r="C11" s="12" t="s">
        <v>1</v>
      </c>
      <c r="D11" s="12" t="s">
        <v>14</v>
      </c>
      <c r="E11" s="12" t="s">
        <v>14</v>
      </c>
      <c r="F11" s="12" t="s">
        <v>13</v>
      </c>
      <c r="G11" s="12" t="s">
        <v>33</v>
      </c>
      <c r="H11" s="12" t="s">
        <v>3</v>
      </c>
      <c r="I11" s="12" t="s">
        <v>2</v>
      </c>
      <c r="J11" s="13" t="s">
        <v>12</v>
      </c>
      <c r="K11" s="13" t="s">
        <v>21</v>
      </c>
      <c r="L11" s="13" t="s">
        <v>26</v>
      </c>
    </row>
    <row r="12" spans="1:12" x14ac:dyDescent="0.2">
      <c r="A12" s="38">
        <v>1</v>
      </c>
      <c r="B12" s="37" t="s">
        <v>8</v>
      </c>
      <c r="C12" s="37" t="s">
        <v>5</v>
      </c>
      <c r="D12" s="44" t="s">
        <v>18</v>
      </c>
      <c r="E12" s="37" t="str" cm="1">
        <f t="array" ref="E12">_xlfn.SWITCH(D12,"DA","Dual Agency","SA","Seller's Agent","BA","Buyer's Agent")</f>
        <v>Dual Agency</v>
      </c>
      <c r="F12" s="39">
        <v>725000</v>
      </c>
      <c r="G12" s="39">
        <v>705000</v>
      </c>
      <c r="H12" s="10">
        <v>44287</v>
      </c>
      <c r="I12" s="40">
        <v>44363</v>
      </c>
      <c r="J12" s="47">
        <f>_xlfn.DAYS(I12,H12)</f>
        <v>76</v>
      </c>
      <c r="K12" s="9" cm="1">
        <f t="array" ref="K12">_xlfn.IFS(D12=J$2,G12*L$2,D12=J$3,G12*L$3,D12=J$4,G12*L$4)</f>
        <v>38775</v>
      </c>
      <c r="L12" s="48" t="str">
        <f>IF(AND(G12/F12&gt;=L$7,J12&lt;=L$8),L$9,"$0")</f>
        <v>$0</v>
      </c>
    </row>
    <row r="13" spans="1:12" x14ac:dyDescent="0.2">
      <c r="A13" s="38">
        <v>4</v>
      </c>
      <c r="B13" s="37" t="s">
        <v>9</v>
      </c>
      <c r="C13" s="37" t="s">
        <v>5</v>
      </c>
      <c r="D13" s="44" t="s">
        <v>18</v>
      </c>
      <c r="E13" s="37" t="str" cm="1">
        <f t="array" ref="E13">_xlfn.SWITCH(D13,"DA","Dual Agency","SA","Seller's Agent","BA","Buyer's Agent")</f>
        <v>Dual Agency</v>
      </c>
      <c r="F13" s="39">
        <v>350799</v>
      </c>
      <c r="G13" s="39">
        <v>350000</v>
      </c>
      <c r="H13" s="10">
        <v>44287</v>
      </c>
      <c r="I13" s="40">
        <v>44341</v>
      </c>
      <c r="J13" s="47">
        <f t="shared" ref="J13:J39" si="5">_xlfn.DAYS(I13,H13)</f>
        <v>54</v>
      </c>
      <c r="K13" s="9" cm="1">
        <f t="array" ref="K13">_xlfn.IFS(D13=J$2,G13*L$2,D13=J$3,G13*L$3,D13=J$4,G13*L$4)</f>
        <v>19250</v>
      </c>
      <c r="L13" s="48" t="str">
        <f t="shared" ref="L13:L39" si="6">IF(AND(G13/F13&gt;=L$7,J13&lt;=L$8),L$9,"$0")</f>
        <v>$0</v>
      </c>
    </row>
    <row r="14" spans="1:12" x14ac:dyDescent="0.2">
      <c r="A14" s="38">
        <v>5</v>
      </c>
      <c r="B14" s="37" t="s">
        <v>11</v>
      </c>
      <c r="C14" s="37" t="s">
        <v>5</v>
      </c>
      <c r="D14" s="44" t="s">
        <v>18</v>
      </c>
      <c r="E14" s="37" t="str" cm="1">
        <f t="array" ref="E14">_xlfn.SWITCH(D14,"DA","Dual Agency","SA","Seller's Agent","BA","Buyer's Agent")</f>
        <v>Dual Agency</v>
      </c>
      <c r="F14" s="39">
        <v>385900</v>
      </c>
      <c r="G14" s="39">
        <v>385900</v>
      </c>
      <c r="H14" s="10">
        <v>44287</v>
      </c>
      <c r="I14" s="40">
        <v>44316</v>
      </c>
      <c r="J14" s="47">
        <f t="shared" si="5"/>
        <v>29</v>
      </c>
      <c r="K14" s="9" cm="1">
        <f t="array" ref="K14">_xlfn.IFS(D14=J$2,G14*L$2,D14=J$3,G14*L$3,D14=J$4,G14*L$4)</f>
        <v>21224.5</v>
      </c>
      <c r="L14" s="48">
        <f t="shared" si="6"/>
        <v>1000</v>
      </c>
    </row>
    <row r="15" spans="1:12" x14ac:dyDescent="0.2">
      <c r="A15" s="38">
        <v>6</v>
      </c>
      <c r="B15" s="37" t="s">
        <v>10</v>
      </c>
      <c r="C15" s="37" t="s">
        <v>4</v>
      </c>
      <c r="D15" s="44" t="s">
        <v>19</v>
      </c>
      <c r="E15" s="37" t="str" cm="1">
        <f t="array" ref="E15">_xlfn.SWITCH(D15,"DA","Dual Agency","SA","Seller's Agent","BA","Buyer's Agent")</f>
        <v>Seller's Agent</v>
      </c>
      <c r="F15" s="39">
        <v>500000</v>
      </c>
      <c r="G15" s="39">
        <v>495800</v>
      </c>
      <c r="H15" s="40">
        <v>44289</v>
      </c>
      <c r="I15" s="40">
        <v>44357</v>
      </c>
      <c r="J15" s="47">
        <f t="shared" si="5"/>
        <v>68</v>
      </c>
      <c r="K15" s="45" cm="1">
        <f t="array" ref="K15">_xlfn.IFS(D15=J$2,G15*L$2,D15=J$3,G15*L$3,D15=J$4,G15*L$4)</f>
        <v>16113.5</v>
      </c>
      <c r="L15" s="48" t="str">
        <f t="shared" si="6"/>
        <v>$0</v>
      </c>
    </row>
    <row r="16" spans="1:12" x14ac:dyDescent="0.2">
      <c r="A16" s="38">
        <v>7</v>
      </c>
      <c r="B16" s="37" t="s">
        <v>9</v>
      </c>
      <c r="C16" s="37" t="s">
        <v>5</v>
      </c>
      <c r="D16" s="44" t="s">
        <v>20</v>
      </c>
      <c r="E16" s="37" t="str" cm="1">
        <f t="array" ref="E16">_xlfn.SWITCH(D16,"DA","Dual Agency","SA","Seller's Agent","BA","Buyer's Agent")</f>
        <v>Buyer's Agent</v>
      </c>
      <c r="F16" s="39">
        <v>345999</v>
      </c>
      <c r="G16" s="39">
        <v>345000</v>
      </c>
      <c r="H16" s="40">
        <v>44289</v>
      </c>
      <c r="I16" s="40">
        <v>44348</v>
      </c>
      <c r="J16" s="47">
        <f t="shared" si="5"/>
        <v>59</v>
      </c>
      <c r="K16" s="45" cm="1">
        <f t="array" ref="K16">_xlfn.IFS(D16=J$2,G16*L$2,D16=J$3,G16*L$3,D16=J$4,G16*L$4)</f>
        <v>9487.5</v>
      </c>
      <c r="L16" s="48" t="str">
        <f t="shared" si="6"/>
        <v>$0</v>
      </c>
    </row>
    <row r="17" spans="1:12" x14ac:dyDescent="0.2">
      <c r="A17" s="38">
        <v>11</v>
      </c>
      <c r="B17" s="37" t="s">
        <v>11</v>
      </c>
      <c r="C17" s="37" t="s">
        <v>6</v>
      </c>
      <c r="D17" s="44" t="s">
        <v>18</v>
      </c>
      <c r="E17" s="37" t="str" cm="1">
        <f t="array" ref="E17">_xlfn.SWITCH(D17,"DA","Dual Agency","SA","Seller's Agent","BA","Buyer's Agent")</f>
        <v>Dual Agency</v>
      </c>
      <c r="F17" s="39">
        <v>325000</v>
      </c>
      <c r="G17" s="39">
        <v>320000</v>
      </c>
      <c r="H17" s="40">
        <v>44298</v>
      </c>
      <c r="I17" s="40">
        <v>44346</v>
      </c>
      <c r="J17" s="47">
        <f t="shared" si="5"/>
        <v>48</v>
      </c>
      <c r="K17" s="9" cm="1">
        <f t="array" ref="K17">_xlfn.IFS(D17=J$2,G17*L$2,D17=J$3,G17*L$3,D17=J$4,G17*L$4)</f>
        <v>17600</v>
      </c>
      <c r="L17" s="48" t="str">
        <f t="shared" si="6"/>
        <v>$0</v>
      </c>
    </row>
    <row r="18" spans="1:12" x14ac:dyDescent="0.2">
      <c r="A18" s="38">
        <v>12</v>
      </c>
      <c r="B18" s="37" t="s">
        <v>10</v>
      </c>
      <c r="C18" s="37" t="s">
        <v>5</v>
      </c>
      <c r="D18" s="44" t="s">
        <v>18</v>
      </c>
      <c r="E18" s="37" t="str" cm="1">
        <f t="array" ref="E18">_xlfn.SWITCH(D18,"DA","Dual Agency","SA","Seller's Agent","BA","Buyer's Agent")</f>
        <v>Dual Agency</v>
      </c>
      <c r="F18" s="39">
        <v>750250</v>
      </c>
      <c r="G18" s="39">
        <v>725900</v>
      </c>
      <c r="H18" s="40">
        <v>44298</v>
      </c>
      <c r="I18" s="40">
        <v>44501</v>
      </c>
      <c r="J18" s="47">
        <f t="shared" si="5"/>
        <v>203</v>
      </c>
      <c r="K18" s="45" cm="1">
        <f t="array" ref="K18">_xlfn.IFS(D18=J$2,G18*L$2,D18=J$3,G18*L$3,D18=J$4,G18*L$4)</f>
        <v>39924.5</v>
      </c>
      <c r="L18" s="48" t="str">
        <f t="shared" si="6"/>
        <v>$0</v>
      </c>
    </row>
    <row r="19" spans="1:12" x14ac:dyDescent="0.2">
      <c r="A19" s="38">
        <v>17</v>
      </c>
      <c r="B19" s="37" t="s">
        <v>10</v>
      </c>
      <c r="C19" s="37" t="s">
        <v>4</v>
      </c>
      <c r="D19" s="44" t="s">
        <v>18</v>
      </c>
      <c r="E19" s="37" t="str" cm="1">
        <f t="array" ref="E19">_xlfn.SWITCH(D19,"DA","Dual Agency","SA","Seller's Agent","BA","Buyer's Agent")</f>
        <v>Dual Agency</v>
      </c>
      <c r="F19" s="39">
        <v>645000</v>
      </c>
      <c r="G19" s="39">
        <v>643000</v>
      </c>
      <c r="H19" s="40">
        <v>44304</v>
      </c>
      <c r="I19" s="40">
        <v>44370</v>
      </c>
      <c r="J19" s="47">
        <f t="shared" si="5"/>
        <v>66</v>
      </c>
      <c r="K19" s="45" cm="1">
        <f t="array" ref="K19">_xlfn.IFS(D19=J$2,G19*L$2,D19=J$3,G19*L$3,D19=J$4,G19*L$4)</f>
        <v>35365</v>
      </c>
      <c r="L19" s="48" t="str">
        <f t="shared" si="6"/>
        <v>$0</v>
      </c>
    </row>
    <row r="20" spans="1:12" x14ac:dyDescent="0.2">
      <c r="A20" s="38">
        <v>19</v>
      </c>
      <c r="B20" s="37" t="s">
        <v>11</v>
      </c>
      <c r="C20" s="37" t="s">
        <v>5</v>
      </c>
      <c r="D20" s="44" t="s">
        <v>20</v>
      </c>
      <c r="E20" s="37" t="str" cm="1">
        <f t="array" ref="E20">_xlfn.SWITCH(D20,"DA","Dual Agency","SA","Seller's Agent","BA","Buyer's Agent")</f>
        <v>Buyer's Agent</v>
      </c>
      <c r="F20" s="39">
        <v>425000</v>
      </c>
      <c r="G20" s="39">
        <v>415000</v>
      </c>
      <c r="H20" s="40">
        <v>44304</v>
      </c>
      <c r="I20" s="40">
        <v>44377</v>
      </c>
      <c r="J20" s="47">
        <f t="shared" si="5"/>
        <v>73</v>
      </c>
      <c r="K20" s="9" cm="1">
        <f t="array" ref="K20">_xlfn.IFS(D20=J$2,G20*L$2,D20=J$3,G20*L$3,D20=J$4,G20*L$4)</f>
        <v>11412.5</v>
      </c>
      <c r="L20" s="48" t="str">
        <f t="shared" si="6"/>
        <v>$0</v>
      </c>
    </row>
    <row r="21" spans="1:12" x14ac:dyDescent="0.2">
      <c r="A21" s="38">
        <v>21</v>
      </c>
      <c r="B21" s="37" t="s">
        <v>9</v>
      </c>
      <c r="C21" s="37" t="s">
        <v>5</v>
      </c>
      <c r="D21" s="44" t="s">
        <v>19</v>
      </c>
      <c r="E21" s="37" t="str" cm="1">
        <f t="array" ref="E21">_xlfn.SWITCH(D21,"DA","Dual Agency","SA","Seller's Agent","BA","Buyer's Agent")</f>
        <v>Seller's Agent</v>
      </c>
      <c r="F21" s="39">
        <v>325000</v>
      </c>
      <c r="G21" s="39">
        <v>330000</v>
      </c>
      <c r="H21" s="40">
        <v>44314</v>
      </c>
      <c r="I21" s="40">
        <v>44348</v>
      </c>
      <c r="J21" s="47">
        <f t="shared" si="5"/>
        <v>34</v>
      </c>
      <c r="K21" s="45" cm="1">
        <f t="array" ref="K21">_xlfn.IFS(D21=J$2,G21*L$2,D21=J$3,G21*L$3,D21=J$4,G21*L$4)</f>
        <v>10725</v>
      </c>
      <c r="L21" s="48" t="str">
        <f t="shared" si="6"/>
        <v>$0</v>
      </c>
    </row>
    <row r="22" spans="1:12" x14ac:dyDescent="0.2">
      <c r="A22" s="38">
        <v>24</v>
      </c>
      <c r="B22" s="37" t="s">
        <v>11</v>
      </c>
      <c r="C22" s="37" t="s">
        <v>5</v>
      </c>
      <c r="D22" s="44" t="s">
        <v>19</v>
      </c>
      <c r="E22" s="37" t="str" cm="1">
        <f t="array" ref="E22">_xlfn.SWITCH(D22,"DA","Dual Agency","SA","Seller's Agent","BA","Buyer's Agent")</f>
        <v>Seller's Agent</v>
      </c>
      <c r="F22" s="39">
        <v>425815</v>
      </c>
      <c r="G22" s="39">
        <v>418000</v>
      </c>
      <c r="H22" s="40">
        <v>44314</v>
      </c>
      <c r="I22" s="40">
        <v>44454</v>
      </c>
      <c r="J22" s="47">
        <f t="shared" si="5"/>
        <v>140</v>
      </c>
      <c r="K22" s="9" cm="1">
        <f t="array" ref="K22">_xlfn.IFS(D22=J$2,G22*L$2,D22=J$3,G22*L$3,D22=J$4,G22*L$4)</f>
        <v>13585</v>
      </c>
      <c r="L22" s="48" t="str">
        <f t="shared" si="6"/>
        <v>$0</v>
      </c>
    </row>
    <row r="23" spans="1:12" x14ac:dyDescent="0.2">
      <c r="A23" s="38">
        <v>27</v>
      </c>
      <c r="B23" s="37" t="s">
        <v>10</v>
      </c>
      <c r="C23" s="37" t="s">
        <v>5</v>
      </c>
      <c r="D23" s="44" t="s">
        <v>18</v>
      </c>
      <c r="E23" s="37" t="str" cm="1">
        <f t="array" ref="E23">_xlfn.SWITCH(D23,"DA","Dual Agency","SA","Seller's Agent","BA","Buyer's Agent")</f>
        <v>Dual Agency</v>
      </c>
      <c r="F23" s="39">
        <v>700000</v>
      </c>
      <c r="G23" s="39">
        <v>705000</v>
      </c>
      <c r="H23" s="40">
        <v>44316</v>
      </c>
      <c r="I23" s="40">
        <v>44366</v>
      </c>
      <c r="J23" s="47">
        <f t="shared" si="5"/>
        <v>50</v>
      </c>
      <c r="K23" s="45" cm="1">
        <f t="array" ref="K23">_xlfn.IFS(D23=J$2,G23*L$2,D23=J$3,G23*L$3,D23=J$4,G23*L$4)</f>
        <v>38775</v>
      </c>
      <c r="L23" s="48" t="str">
        <f t="shared" si="6"/>
        <v>$0</v>
      </c>
    </row>
    <row r="24" spans="1:12" x14ac:dyDescent="0.2">
      <c r="A24" s="38">
        <v>30</v>
      </c>
      <c r="B24" s="37" t="s">
        <v>9</v>
      </c>
      <c r="C24" s="37" t="s">
        <v>6</v>
      </c>
      <c r="D24" s="44" t="s">
        <v>19</v>
      </c>
      <c r="E24" s="37" t="str" cm="1">
        <f t="array" ref="E24">_xlfn.SWITCH(D24,"DA","Dual Agency","SA","Seller's Agent","BA","Buyer's Agent")</f>
        <v>Seller's Agent</v>
      </c>
      <c r="F24" s="39">
        <v>365000</v>
      </c>
      <c r="G24" s="39">
        <v>363000</v>
      </c>
      <c r="H24" s="40">
        <v>44317</v>
      </c>
      <c r="I24" s="40">
        <v>44365</v>
      </c>
      <c r="J24" s="47">
        <f t="shared" si="5"/>
        <v>48</v>
      </c>
      <c r="K24" s="45" cm="1">
        <f t="array" ref="K24">_xlfn.IFS(D24=J$2,G24*L$2,D24=J$3,G24*L$3,D24=J$4,G24*L$4)</f>
        <v>11797.5</v>
      </c>
      <c r="L24" s="48" t="str">
        <f t="shared" si="6"/>
        <v>$0</v>
      </c>
    </row>
    <row r="25" spans="1:12" x14ac:dyDescent="0.2">
      <c r="A25" s="38">
        <v>32</v>
      </c>
      <c r="B25" s="37" t="s">
        <v>8</v>
      </c>
      <c r="C25" s="37" t="s">
        <v>4</v>
      </c>
      <c r="D25" s="44" t="s">
        <v>19</v>
      </c>
      <c r="E25" s="37" t="str" cm="1">
        <f t="array" ref="E25">_xlfn.SWITCH(D25,"DA","Dual Agency","SA","Seller's Agent","BA","Buyer's Agent")</f>
        <v>Seller's Agent</v>
      </c>
      <c r="F25" s="39">
        <v>885500</v>
      </c>
      <c r="G25" s="39">
        <v>800000</v>
      </c>
      <c r="H25" s="40">
        <v>44317</v>
      </c>
      <c r="I25" s="40">
        <v>44353</v>
      </c>
      <c r="J25" s="47">
        <f t="shared" si="5"/>
        <v>36</v>
      </c>
      <c r="K25" s="9" cm="1">
        <f t="array" ref="K25">_xlfn.IFS(D25=J$2,G25*L$2,D25=J$3,G25*L$3,D25=J$4,G25*L$4)</f>
        <v>26000</v>
      </c>
      <c r="L25" s="48" t="str">
        <f t="shared" si="6"/>
        <v>$0</v>
      </c>
    </row>
    <row r="26" spans="1:12" x14ac:dyDescent="0.2">
      <c r="A26" s="38">
        <v>34</v>
      </c>
      <c r="B26" s="37" t="s">
        <v>8</v>
      </c>
      <c r="C26" s="37" t="s">
        <v>4</v>
      </c>
      <c r="D26" s="44" t="s">
        <v>19</v>
      </c>
      <c r="E26" s="37" t="str" cm="1">
        <f t="array" ref="E26">_xlfn.SWITCH(D26,"DA","Dual Agency","SA","Seller's Agent","BA","Buyer's Agent")</f>
        <v>Seller's Agent</v>
      </c>
      <c r="F26" s="39">
        <v>610000</v>
      </c>
      <c r="G26" s="39">
        <v>600000</v>
      </c>
      <c r="H26" s="40">
        <v>44317</v>
      </c>
      <c r="I26" s="40">
        <v>44373</v>
      </c>
      <c r="J26" s="47">
        <f t="shared" si="5"/>
        <v>56</v>
      </c>
      <c r="K26" s="9" cm="1">
        <f t="array" ref="K26">_xlfn.IFS(D26=J$2,G26*L$2,D26=J$3,G26*L$3,D26=J$4,G26*L$4)</f>
        <v>19500</v>
      </c>
      <c r="L26" s="48" t="str">
        <f t="shared" si="6"/>
        <v>$0</v>
      </c>
    </row>
    <row r="27" spans="1:12" x14ac:dyDescent="0.2">
      <c r="A27" s="38">
        <v>35</v>
      </c>
      <c r="B27" s="37" t="s">
        <v>8</v>
      </c>
      <c r="C27" s="37" t="s">
        <v>6</v>
      </c>
      <c r="D27" s="44" t="s">
        <v>18</v>
      </c>
      <c r="E27" s="37" t="str" cm="1">
        <f t="array" ref="E27">_xlfn.SWITCH(D27,"DA","Dual Agency","SA","Seller's Agent","BA","Buyer's Agent")</f>
        <v>Dual Agency</v>
      </c>
      <c r="F27" s="39">
        <v>560700</v>
      </c>
      <c r="G27" s="39">
        <v>565000</v>
      </c>
      <c r="H27" s="40">
        <v>44317</v>
      </c>
      <c r="I27" s="40">
        <v>44346</v>
      </c>
      <c r="J27" s="47">
        <f t="shared" si="5"/>
        <v>29</v>
      </c>
      <c r="K27" s="9" cm="1">
        <f t="array" ref="K27">_xlfn.IFS(D27=J$2,G27*L$2,D27=J$3,G27*L$3,D27=J$4,G27*L$4)</f>
        <v>31075</v>
      </c>
      <c r="L27" s="48">
        <f t="shared" si="6"/>
        <v>1000</v>
      </c>
    </row>
    <row r="28" spans="1:12" x14ac:dyDescent="0.2">
      <c r="A28" s="38">
        <v>36</v>
      </c>
      <c r="B28" s="37" t="s">
        <v>11</v>
      </c>
      <c r="C28" s="37" t="s">
        <v>6</v>
      </c>
      <c r="D28" s="44" t="s">
        <v>20</v>
      </c>
      <c r="E28" s="37" t="str" cm="1">
        <f t="array" ref="E28">_xlfn.SWITCH(D28,"DA","Dual Agency","SA","Seller's Agent","BA","Buyer's Agent")</f>
        <v>Buyer's Agent</v>
      </c>
      <c r="F28" s="39">
        <v>450000</v>
      </c>
      <c r="G28" s="39">
        <v>450000</v>
      </c>
      <c r="H28" s="40">
        <v>44318</v>
      </c>
      <c r="I28" s="40">
        <v>44469</v>
      </c>
      <c r="J28" s="47">
        <f t="shared" si="5"/>
        <v>151</v>
      </c>
      <c r="K28" s="9" cm="1">
        <f t="array" ref="K28">_xlfn.IFS(D28=J$2,G28*L$2,D28=J$3,G28*L$3,D28=J$4,G28*L$4)</f>
        <v>12375</v>
      </c>
      <c r="L28" s="48" t="str">
        <f t="shared" si="6"/>
        <v>$0</v>
      </c>
    </row>
    <row r="29" spans="1:12" x14ac:dyDescent="0.2">
      <c r="A29" s="38">
        <v>43</v>
      </c>
      <c r="B29" s="37" t="s">
        <v>11</v>
      </c>
      <c r="C29" s="37" t="s">
        <v>4</v>
      </c>
      <c r="D29" s="44" t="s">
        <v>20</v>
      </c>
      <c r="E29" s="37" t="str" cm="1">
        <f t="array" ref="E29">_xlfn.SWITCH(D29,"DA","Dual Agency","SA","Seller's Agent","BA","Buyer's Agent")</f>
        <v>Buyer's Agent</v>
      </c>
      <c r="F29" s="39">
        <v>375000</v>
      </c>
      <c r="G29" s="39">
        <v>372500</v>
      </c>
      <c r="H29" s="40">
        <v>44322</v>
      </c>
      <c r="I29" s="40">
        <v>44331</v>
      </c>
      <c r="J29" s="47">
        <f t="shared" si="5"/>
        <v>9</v>
      </c>
      <c r="K29" s="9" cm="1">
        <f t="array" ref="K29">_xlfn.IFS(D29=J$2,G29*L$2,D29=J$3,G29*L$3,D29=J$4,G29*L$4)</f>
        <v>10243.75</v>
      </c>
      <c r="L29" s="48" t="str">
        <f t="shared" si="6"/>
        <v>$0</v>
      </c>
    </row>
    <row r="30" spans="1:12" x14ac:dyDescent="0.2">
      <c r="A30" s="38">
        <v>46</v>
      </c>
      <c r="B30" s="37" t="s">
        <v>8</v>
      </c>
      <c r="C30" s="37" t="s">
        <v>4</v>
      </c>
      <c r="D30" s="44" t="s">
        <v>19</v>
      </c>
      <c r="E30" s="37" t="str" cm="1">
        <f t="array" ref="E30">_xlfn.SWITCH(D30,"DA","Dual Agency","SA","Seller's Agent","BA","Buyer's Agent")</f>
        <v>Seller's Agent</v>
      </c>
      <c r="F30" s="39">
        <v>650000</v>
      </c>
      <c r="G30" s="39">
        <v>625750</v>
      </c>
      <c r="H30" s="40">
        <v>44331</v>
      </c>
      <c r="I30" s="40">
        <v>44356</v>
      </c>
      <c r="J30" s="47">
        <f t="shared" si="5"/>
        <v>25</v>
      </c>
      <c r="K30" s="9" cm="1">
        <f t="array" ref="K30">_xlfn.IFS(D30=J$2,G30*L$2,D30=J$3,G30*L$3,D30=J$4,G30*L$4)</f>
        <v>20336.875</v>
      </c>
      <c r="L30" s="48" t="str">
        <f t="shared" si="6"/>
        <v>$0</v>
      </c>
    </row>
    <row r="31" spans="1:12" x14ac:dyDescent="0.2">
      <c r="A31" s="38">
        <v>48</v>
      </c>
      <c r="B31" s="37" t="s">
        <v>10</v>
      </c>
      <c r="C31" s="37" t="s">
        <v>6</v>
      </c>
      <c r="D31" s="44" t="s">
        <v>18</v>
      </c>
      <c r="E31" s="37" t="str" cm="1">
        <f t="array" ref="E31">_xlfn.SWITCH(D31,"DA","Dual Agency","SA","Seller's Agent","BA","Buyer's Agent")</f>
        <v>Dual Agency</v>
      </c>
      <c r="F31" s="39">
        <v>545000</v>
      </c>
      <c r="G31" s="39">
        <v>560000</v>
      </c>
      <c r="H31" s="40">
        <v>44338</v>
      </c>
      <c r="I31" s="40">
        <v>44363</v>
      </c>
      <c r="J31" s="47">
        <f t="shared" si="5"/>
        <v>25</v>
      </c>
      <c r="K31" s="9" cm="1">
        <f t="array" ref="K31">_xlfn.IFS(D31=J$2,G31*L$2,D31=J$3,G31*L$3,D31=J$4,G31*L$4)</f>
        <v>30800</v>
      </c>
      <c r="L31" s="48">
        <f t="shared" si="6"/>
        <v>1000</v>
      </c>
    </row>
    <row r="32" spans="1:12" x14ac:dyDescent="0.2">
      <c r="A32" s="38">
        <v>53</v>
      </c>
      <c r="B32" s="37" t="s">
        <v>9</v>
      </c>
      <c r="C32" s="37" t="s">
        <v>4</v>
      </c>
      <c r="D32" s="44" t="s">
        <v>19</v>
      </c>
      <c r="E32" s="37" t="str" cm="1">
        <f t="array" ref="E32">_xlfn.SWITCH(D32,"DA","Dual Agency","SA","Seller's Agent","BA","Buyer's Agent")</f>
        <v>Seller's Agent</v>
      </c>
      <c r="F32" s="39">
        <v>315750</v>
      </c>
      <c r="G32" s="39">
        <v>320000</v>
      </c>
      <c r="H32" s="40">
        <v>44344</v>
      </c>
      <c r="I32" s="40">
        <v>44365</v>
      </c>
      <c r="J32" s="47">
        <f t="shared" si="5"/>
        <v>21</v>
      </c>
      <c r="K32" s="45" cm="1">
        <f t="array" ref="K32">_xlfn.IFS(D32=J$2,G32*L$2,D32=J$3,G32*L$3,D32=J$4,G32*L$4)</f>
        <v>10400</v>
      </c>
      <c r="L32" s="48">
        <f t="shared" si="6"/>
        <v>1000</v>
      </c>
    </row>
    <row r="33" spans="1:12" x14ac:dyDescent="0.2">
      <c r="A33" s="38">
        <v>61</v>
      </c>
      <c r="B33" s="37" t="s">
        <v>9</v>
      </c>
      <c r="C33" s="37" t="s">
        <v>4</v>
      </c>
      <c r="D33" s="44" t="s">
        <v>18</v>
      </c>
      <c r="E33" s="37" t="str" cm="1">
        <f t="array" ref="E33">_xlfn.SWITCH(D33,"DA","Dual Agency","SA","Seller's Agent","BA","Buyer's Agent")</f>
        <v>Dual Agency</v>
      </c>
      <c r="F33" s="39">
        <v>300000</v>
      </c>
      <c r="G33" s="39">
        <v>300000</v>
      </c>
      <c r="H33" s="40">
        <v>44349</v>
      </c>
      <c r="I33" s="40">
        <v>44441</v>
      </c>
      <c r="J33" s="47">
        <f t="shared" si="5"/>
        <v>92</v>
      </c>
      <c r="K33" s="45" cm="1">
        <f t="array" ref="K33">_xlfn.IFS(D33=J$2,G33*L$2,D33=J$3,G33*L$3,D33=J$4,G33*L$4)</f>
        <v>16500</v>
      </c>
      <c r="L33" s="48" t="str">
        <f t="shared" si="6"/>
        <v>$0</v>
      </c>
    </row>
    <row r="34" spans="1:12" x14ac:dyDescent="0.2">
      <c r="A34" s="38">
        <v>69</v>
      </c>
      <c r="B34" s="37" t="s">
        <v>10</v>
      </c>
      <c r="C34" s="37" t="s">
        <v>6</v>
      </c>
      <c r="D34" s="44" t="s">
        <v>18</v>
      </c>
      <c r="E34" s="37" t="str" cm="1">
        <f t="array" ref="E34">_xlfn.SWITCH(D34,"DA","Dual Agency","SA","Seller's Agent","BA","Buyer's Agent")</f>
        <v>Dual Agency</v>
      </c>
      <c r="F34" s="39">
        <v>589000</v>
      </c>
      <c r="G34" s="39">
        <v>595000</v>
      </c>
      <c r="H34" s="40">
        <v>44365</v>
      </c>
      <c r="I34" s="40">
        <v>44385</v>
      </c>
      <c r="J34" s="47">
        <f t="shared" si="5"/>
        <v>20</v>
      </c>
      <c r="K34" s="9" cm="1">
        <f t="array" ref="K34">_xlfn.IFS(D34=J$2,G34*L$2,D34=J$3,G34*L$3,D34=J$4,G34*L$4)</f>
        <v>32725</v>
      </c>
      <c r="L34" s="48">
        <f t="shared" si="6"/>
        <v>1000</v>
      </c>
    </row>
    <row r="35" spans="1:12" x14ac:dyDescent="0.2">
      <c r="A35" s="38">
        <v>70</v>
      </c>
      <c r="B35" s="37" t="s">
        <v>11</v>
      </c>
      <c r="C35" s="37" t="s">
        <v>6</v>
      </c>
      <c r="D35" s="44" t="s">
        <v>18</v>
      </c>
      <c r="E35" s="37" t="str" cm="1">
        <f t="array" ref="E35">_xlfn.SWITCH(D35,"DA","Dual Agency","SA","Seller's Agent","BA","Buyer's Agent")</f>
        <v>Dual Agency</v>
      </c>
      <c r="F35" s="39">
        <v>345670</v>
      </c>
      <c r="G35" s="39">
        <v>345000</v>
      </c>
      <c r="H35" s="40">
        <v>44367</v>
      </c>
      <c r="I35" s="40">
        <v>44469</v>
      </c>
      <c r="J35" s="47">
        <f t="shared" si="5"/>
        <v>102</v>
      </c>
      <c r="K35" s="9" cm="1">
        <f t="array" ref="K35">_xlfn.IFS(D35=J$2,G35*L$2,D35=J$3,G35*L$3,D35=J$4,G35*L$4)</f>
        <v>18975</v>
      </c>
      <c r="L35" s="48" t="str">
        <f t="shared" si="6"/>
        <v>$0</v>
      </c>
    </row>
    <row r="36" spans="1:12" x14ac:dyDescent="0.2">
      <c r="A36" s="38">
        <v>73</v>
      </c>
      <c r="B36" s="37" t="s">
        <v>8</v>
      </c>
      <c r="C36" s="37" t="s">
        <v>4</v>
      </c>
      <c r="D36" s="44" t="s">
        <v>20</v>
      </c>
      <c r="E36" s="37" t="str" cm="1">
        <f t="array" ref="E36">_xlfn.SWITCH(D36,"DA","Dual Agency","SA","Seller's Agent","BA","Buyer's Agent")</f>
        <v>Buyer's Agent</v>
      </c>
      <c r="F36" s="39">
        <v>555000</v>
      </c>
      <c r="G36" s="39">
        <v>550000</v>
      </c>
      <c r="H36" s="40">
        <v>44371</v>
      </c>
      <c r="I36" s="40">
        <v>44377</v>
      </c>
      <c r="J36" s="47">
        <f t="shared" si="5"/>
        <v>6</v>
      </c>
      <c r="K36" s="9" cm="1">
        <f t="array" ref="K36">_xlfn.IFS(D36=J$2,G36*L$2,D36=J$3,G36*L$3,D36=J$4,G36*L$4)</f>
        <v>15125</v>
      </c>
      <c r="L36" s="48" t="str">
        <f t="shared" si="6"/>
        <v>$0</v>
      </c>
    </row>
    <row r="37" spans="1:12" x14ac:dyDescent="0.2">
      <c r="A37" s="38">
        <v>75</v>
      </c>
      <c r="B37" s="37" t="s">
        <v>10</v>
      </c>
      <c r="C37" s="37" t="s">
        <v>4</v>
      </c>
      <c r="D37" s="44" t="s">
        <v>20</v>
      </c>
      <c r="E37" s="37" t="str" cm="1">
        <f t="array" ref="E37">_xlfn.SWITCH(D37,"DA","Dual Agency","SA","Seller's Agent","BA","Buyer's Agent")</f>
        <v>Buyer's Agent</v>
      </c>
      <c r="F37" s="39">
        <v>475000</v>
      </c>
      <c r="G37" s="39">
        <v>485000</v>
      </c>
      <c r="H37" s="40">
        <v>44371</v>
      </c>
      <c r="I37" s="40">
        <v>44457</v>
      </c>
      <c r="J37" s="47">
        <f t="shared" si="5"/>
        <v>86</v>
      </c>
      <c r="K37" s="9" cm="1">
        <f t="array" ref="K37">_xlfn.IFS(D37=J$2,G37*L$2,D37=J$3,G37*L$3,D37=J$4,G37*L$4)</f>
        <v>13337.5</v>
      </c>
      <c r="L37" s="48" t="str">
        <f t="shared" si="6"/>
        <v>$0</v>
      </c>
    </row>
    <row r="38" spans="1:12" x14ac:dyDescent="0.2">
      <c r="A38" s="38">
        <v>78</v>
      </c>
      <c r="B38" s="37" t="s">
        <v>11</v>
      </c>
      <c r="C38" s="37" t="s">
        <v>4</v>
      </c>
      <c r="D38" s="44" t="s">
        <v>18</v>
      </c>
      <c r="E38" s="37" t="str" cm="1">
        <f t="array" ref="E38">_xlfn.SWITCH(D38,"DA","Dual Agency","SA","Seller's Agent","BA","Buyer's Agent")</f>
        <v>Dual Agency</v>
      </c>
      <c r="F38" s="39">
        <v>400000</v>
      </c>
      <c r="G38" s="39">
        <v>400000</v>
      </c>
      <c r="H38" s="40">
        <v>44377</v>
      </c>
      <c r="I38" s="40">
        <v>44392</v>
      </c>
      <c r="J38" s="47">
        <f t="shared" si="5"/>
        <v>15</v>
      </c>
      <c r="K38" s="9" cm="1">
        <f t="array" ref="K38">_xlfn.IFS(D38=J$2,G38*L$2,D38=J$3,G38*L$3,D38=J$4,G38*L$4)</f>
        <v>22000</v>
      </c>
      <c r="L38" s="48">
        <f t="shared" si="6"/>
        <v>1000</v>
      </c>
    </row>
    <row r="39" spans="1:12" x14ac:dyDescent="0.2">
      <c r="A39" s="38">
        <v>80</v>
      </c>
      <c r="B39" s="37" t="s">
        <v>11</v>
      </c>
      <c r="C39" s="37" t="s">
        <v>5</v>
      </c>
      <c r="D39" s="44" t="s">
        <v>19</v>
      </c>
      <c r="E39" s="37" t="str" cm="1">
        <f t="array" ref="E39">_xlfn.SWITCH(D39,"DA","Dual Agency","SA","Seller's Agent","BA","Buyer's Agent")</f>
        <v>Seller's Agent</v>
      </c>
      <c r="F39" s="39">
        <v>380500</v>
      </c>
      <c r="G39" s="39">
        <v>365750</v>
      </c>
      <c r="H39" s="40">
        <v>44377</v>
      </c>
      <c r="I39" s="40">
        <v>44440</v>
      </c>
      <c r="J39" s="47">
        <f t="shared" si="5"/>
        <v>63</v>
      </c>
      <c r="K39" s="9" cm="1">
        <f t="array" ref="K39">_xlfn.IFS(D39=J$2,G39*L$2,D39=J$3,G39*L$3,D39=J$4,G39*L$4)</f>
        <v>11886.875</v>
      </c>
      <c r="L39" s="48" t="str">
        <f t="shared" si="6"/>
        <v>$0</v>
      </c>
    </row>
    <row r="40" spans="1:12" x14ac:dyDescent="0.2">
      <c r="A40" s="45"/>
      <c r="D40" s="36"/>
    </row>
    <row r="41" spans="1:12" x14ac:dyDescent="0.2">
      <c r="D41" s="44"/>
      <c r="E41" s="37"/>
    </row>
    <row r="42" spans="1:12" x14ac:dyDescent="0.2">
      <c r="D42" s="44"/>
      <c r="E42" s="37"/>
    </row>
  </sheetData>
  <sortState xmlns:xlrd2="http://schemas.microsoft.com/office/spreadsheetml/2017/richdata2" ref="A12:L39">
    <sortCondition ref="A12:A39"/>
  </sortState>
  <pageMargins left="0.2" right="0.2" top="0.3" bottom="0.3" header="0.3" footer="0.3"/>
  <pageSetup scale="93" fitToHeight="2" orientation="landscape" horizontalDpi="200" verticalDpi="200" r:id="rId1"/>
  <headerFooter>
    <oddFooter>&amp;LDenzel Coleman&amp;C&amp;A&amp;R&amp;F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AC9B-1EE9-4D8E-B6BF-EBA495582F9D}">
  <sheetPr>
    <pageSetUpPr fitToPage="1"/>
  </sheetPr>
  <dimension ref="A1:C5"/>
  <sheetViews>
    <sheetView workbookViewId="0">
      <selection activeCell="A7" sqref="A7"/>
    </sheetView>
  </sheetViews>
  <sheetFormatPr defaultRowHeight="12.75" x14ac:dyDescent="0.2"/>
  <cols>
    <col min="1" max="1" width="13.28515625" bestFit="1" customWidth="1"/>
    <col min="2" max="2" width="13.28515625" customWidth="1"/>
    <col min="3" max="3" width="13.42578125" customWidth="1"/>
  </cols>
  <sheetData>
    <row r="1" spans="1:3" ht="25.5" x14ac:dyDescent="0.2">
      <c r="A1" s="30" t="s">
        <v>23</v>
      </c>
      <c r="B1" s="30" t="s">
        <v>31</v>
      </c>
      <c r="C1" s="32" t="s">
        <v>24</v>
      </c>
    </row>
    <row r="2" spans="1:3" x14ac:dyDescent="0.2">
      <c r="A2" s="4" t="s">
        <v>10</v>
      </c>
      <c r="B2" s="31">
        <v>84004</v>
      </c>
      <c r="C2" s="50">
        <v>601385.71428571432</v>
      </c>
    </row>
    <row r="3" spans="1:3" x14ac:dyDescent="0.2">
      <c r="A3" s="4" t="s">
        <v>11</v>
      </c>
      <c r="B3" s="31">
        <v>84003</v>
      </c>
      <c r="C3" s="50">
        <v>385794.44444444444</v>
      </c>
    </row>
    <row r="4" spans="1:3" x14ac:dyDescent="0.2">
      <c r="A4" s="4" t="s">
        <v>8</v>
      </c>
      <c r="B4" s="31">
        <v>84062</v>
      </c>
      <c r="C4" s="50">
        <v>640958.33333333337</v>
      </c>
    </row>
    <row r="5" spans="1:3" x14ac:dyDescent="0.2">
      <c r="A5" s="4" t="s">
        <v>9</v>
      </c>
      <c r="B5" s="31">
        <v>84043</v>
      </c>
      <c r="C5" s="50">
        <v>334666.66666666669</v>
      </c>
    </row>
  </sheetData>
  <printOptions horizontalCentered="1"/>
  <pageMargins left="1" right="1" top="1" bottom="0.75" header="0.3" footer="0.3"/>
  <pageSetup fitToHeight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08E2-5581-4C0B-B8EE-1D8251AFDD5B}">
  <sheetPr>
    <pageSetUpPr fitToPage="1"/>
  </sheetPr>
  <dimension ref="A1:E28"/>
  <sheetViews>
    <sheetView zoomScaleNormal="100" workbookViewId="0">
      <selection activeCell="B8" sqref="B8"/>
    </sheetView>
  </sheetViews>
  <sheetFormatPr defaultRowHeight="12.75" x14ac:dyDescent="0.2"/>
  <cols>
    <col min="1" max="1" width="19.140625" customWidth="1"/>
    <col min="2" max="2" width="12.28515625" bestFit="1" customWidth="1"/>
    <col min="3" max="3" width="9.7109375" bestFit="1" customWidth="1"/>
    <col min="4" max="4" width="11.7109375" bestFit="1" customWidth="1"/>
    <col min="5" max="5" width="12.28515625" bestFit="1" customWidth="1"/>
  </cols>
  <sheetData>
    <row r="1" spans="1:5" x14ac:dyDescent="0.2">
      <c r="A1" s="41" t="s">
        <v>47</v>
      </c>
      <c r="B1" s="45">
        <v>300000</v>
      </c>
    </row>
    <row r="2" spans="1:5" x14ac:dyDescent="0.2">
      <c r="A2" s="41" t="s">
        <v>37</v>
      </c>
      <c r="B2" s="42">
        <v>4.4999999999999998E-2</v>
      </c>
    </row>
    <row r="3" spans="1:5" x14ac:dyDescent="0.2">
      <c r="A3" s="41" t="s">
        <v>43</v>
      </c>
      <c r="B3" s="42">
        <f>B2/12</f>
        <v>3.7499999999999999E-3</v>
      </c>
    </row>
    <row r="4" spans="1:5" x14ac:dyDescent="0.2">
      <c r="A4" s="41" t="s">
        <v>38</v>
      </c>
      <c r="B4" s="25">
        <f>12*30</f>
        <v>360</v>
      </c>
    </row>
    <row r="5" spans="1:5" x14ac:dyDescent="0.2">
      <c r="A5" s="41" t="s">
        <v>39</v>
      </c>
      <c r="B5" s="24">
        <f>PMT(B3,B4,-B1)</f>
        <v>1520.0559294776419</v>
      </c>
    </row>
    <row r="7" spans="1:5" x14ac:dyDescent="0.2">
      <c r="A7" s="27" t="s">
        <v>40</v>
      </c>
      <c r="B7" s="27" t="s">
        <v>41</v>
      </c>
      <c r="C7" s="27" t="s">
        <v>42</v>
      </c>
      <c r="D7" s="27" t="s">
        <v>44</v>
      </c>
      <c r="E7" s="41"/>
    </row>
    <row r="8" spans="1:5" x14ac:dyDescent="0.2">
      <c r="A8" s="26">
        <v>1</v>
      </c>
      <c r="B8" s="46">
        <f>B1</f>
        <v>300000</v>
      </c>
      <c r="C8" s="24">
        <f>IPMT(B$3,A8,B$4,-B$1)</f>
        <v>1125</v>
      </c>
      <c r="D8" s="24">
        <f>PPMT(B$3,A8,B$4,-B$1)</f>
        <v>395.05592947764205</v>
      </c>
      <c r="E8" s="46"/>
    </row>
    <row r="9" spans="1:5" x14ac:dyDescent="0.2">
      <c r="A9" s="26">
        <v>2</v>
      </c>
      <c r="B9" s="46">
        <f>B1-B$5</f>
        <v>298479.94407052238</v>
      </c>
      <c r="C9" s="24">
        <f t="shared" ref="C9:C19" si="0">IPMT(B$3,A9,B$4,-B$1)</f>
        <v>1123.5185402644586</v>
      </c>
      <c r="D9" s="24">
        <f t="shared" ref="D9:D19" si="1">PPMT(B$3,A9,B$4,-B$1)</f>
        <v>396.5373892131833</v>
      </c>
    </row>
    <row r="10" spans="1:5" x14ac:dyDescent="0.2">
      <c r="A10" s="26">
        <v>3</v>
      </c>
      <c r="B10" s="46">
        <f>B9-B$5</f>
        <v>296959.88814104476</v>
      </c>
      <c r="C10" s="24">
        <f t="shared" si="0"/>
        <v>1122.0315250549093</v>
      </c>
      <c r="D10" s="24">
        <f t="shared" si="1"/>
        <v>398.02440442273274</v>
      </c>
    </row>
    <row r="11" spans="1:5" x14ac:dyDescent="0.2">
      <c r="A11" s="26">
        <v>4</v>
      </c>
      <c r="B11" s="46">
        <f t="shared" ref="B10:B19" si="2">B10-B$5</f>
        <v>295439.83221156715</v>
      </c>
      <c r="C11" s="24">
        <f t="shared" si="0"/>
        <v>1120.538933538324</v>
      </c>
      <c r="D11" s="24">
        <f t="shared" si="1"/>
        <v>399.51699593931789</v>
      </c>
    </row>
    <row r="12" spans="1:5" x14ac:dyDescent="0.2">
      <c r="A12" s="26">
        <v>5</v>
      </c>
      <c r="B12" s="46">
        <f t="shared" si="2"/>
        <v>293919.77628208953</v>
      </c>
      <c r="C12" s="24">
        <f t="shared" si="0"/>
        <v>1119.0407448035517</v>
      </c>
      <c r="D12" s="24">
        <f t="shared" si="1"/>
        <v>401.01518467409045</v>
      </c>
    </row>
    <row r="13" spans="1:5" x14ac:dyDescent="0.2">
      <c r="A13" s="26">
        <v>6</v>
      </c>
      <c r="B13" s="46">
        <f t="shared" si="2"/>
        <v>292399.72035261191</v>
      </c>
      <c r="C13" s="24">
        <f t="shared" si="0"/>
        <v>1117.5369378610237</v>
      </c>
      <c r="D13" s="24">
        <f t="shared" si="1"/>
        <v>402.51899161661828</v>
      </c>
    </row>
    <row r="14" spans="1:5" x14ac:dyDescent="0.2">
      <c r="A14" s="26">
        <v>7</v>
      </c>
      <c r="B14" s="46">
        <f t="shared" si="2"/>
        <v>290879.66442313429</v>
      </c>
      <c r="C14" s="24">
        <f t="shared" si="0"/>
        <v>1116.0274916424614</v>
      </c>
      <c r="D14" s="24">
        <f t="shared" si="1"/>
        <v>404.02843783518057</v>
      </c>
    </row>
    <row r="15" spans="1:5" x14ac:dyDescent="0.2">
      <c r="A15" s="26">
        <v>8</v>
      </c>
      <c r="B15" s="46">
        <f t="shared" si="2"/>
        <v>289359.60849365668</v>
      </c>
      <c r="C15" s="24">
        <f t="shared" si="0"/>
        <v>1114.5123850005796</v>
      </c>
      <c r="D15" s="24">
        <f t="shared" si="1"/>
        <v>405.54354447706248</v>
      </c>
    </row>
    <row r="16" spans="1:5" x14ac:dyDescent="0.2">
      <c r="A16" s="26">
        <v>9</v>
      </c>
      <c r="B16" s="46">
        <f t="shared" si="2"/>
        <v>287839.55256417906</v>
      </c>
      <c r="C16" s="24">
        <f t="shared" si="0"/>
        <v>1112.9915967087907</v>
      </c>
      <c r="D16" s="24">
        <f t="shared" si="1"/>
        <v>407.06433276885139</v>
      </c>
    </row>
    <row r="17" spans="1:4" x14ac:dyDescent="0.2">
      <c r="A17" s="26">
        <v>10</v>
      </c>
      <c r="B17" s="46">
        <f t="shared" si="2"/>
        <v>286319.49663470144</v>
      </c>
      <c r="C17" s="24">
        <f t="shared" si="0"/>
        <v>1111.4651054609074</v>
      </c>
      <c r="D17" s="24">
        <f t="shared" si="1"/>
        <v>408.59082401673476</v>
      </c>
    </row>
    <row r="18" spans="1:4" x14ac:dyDescent="0.2">
      <c r="A18" s="26">
        <v>11</v>
      </c>
      <c r="B18" s="46">
        <f t="shared" si="2"/>
        <v>284799.44070522382</v>
      </c>
      <c r="C18" s="24">
        <f t="shared" si="0"/>
        <v>1109.9328898708445</v>
      </c>
      <c r="D18" s="24">
        <f t="shared" si="1"/>
        <v>410.12303960679742</v>
      </c>
    </row>
    <row r="19" spans="1:4" x14ac:dyDescent="0.2">
      <c r="A19" s="26">
        <v>12</v>
      </c>
      <c r="B19" s="46">
        <f t="shared" si="2"/>
        <v>283279.38477574621</v>
      </c>
      <c r="C19" s="24">
        <f t="shared" si="0"/>
        <v>1108.3949284723192</v>
      </c>
      <c r="D19" s="24">
        <f t="shared" si="1"/>
        <v>411.66100100532282</v>
      </c>
    </row>
    <row r="21" spans="1:4" x14ac:dyDescent="0.2">
      <c r="A21" s="27" t="s">
        <v>45</v>
      </c>
      <c r="B21" s="28"/>
    </row>
    <row r="22" spans="1:4" x14ac:dyDescent="0.2">
      <c r="A22" s="41" t="s">
        <v>42</v>
      </c>
      <c r="B22" s="45">
        <f>-CUMIPMT(B$3,B$4,B$1,A8,A19,0)</f>
        <v>13400.991078678169</v>
      </c>
    </row>
    <row r="23" spans="1:4" x14ac:dyDescent="0.2">
      <c r="A23" s="41" t="s">
        <v>46</v>
      </c>
      <c r="B23" s="45">
        <f>-CUMPRINC(B$3,B$4,B$1,A8,A19,0)</f>
        <v>4839.6800750535322</v>
      </c>
    </row>
    <row r="25" spans="1:4" x14ac:dyDescent="0.2">
      <c r="A25" s="29" t="s">
        <v>48</v>
      </c>
      <c r="B25" s="28"/>
      <c r="C25" s="28"/>
    </row>
    <row r="26" spans="1:4" x14ac:dyDescent="0.2">
      <c r="A26" s="41" t="s">
        <v>39</v>
      </c>
      <c r="B26" s="45">
        <v>1400</v>
      </c>
    </row>
    <row r="27" spans="1:4" x14ac:dyDescent="0.2">
      <c r="A27" s="41" t="s">
        <v>49</v>
      </c>
      <c r="B27" s="43">
        <f>RATE(B$4,-B$26,B$1)</f>
        <v>3.1770460244462469E-3</v>
      </c>
    </row>
    <row r="28" spans="1:4" x14ac:dyDescent="0.2">
      <c r="A28" s="41" t="s">
        <v>50</v>
      </c>
      <c r="B28" s="43">
        <f>B27*12</f>
        <v>3.8124552293354964E-2</v>
      </c>
    </row>
  </sheetData>
  <pageMargins left="0.2" right="0.2" top="0.75" bottom="0.75" header="0.3" footer="0.3"/>
  <pageSetup fitToHeight="2" orientation="portrait" r:id="rId1"/>
  <headerFooter>
    <oddFooter>&amp;LDenzel Coleman&amp;C&amp;A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CdRFaiYg+KBh0nfy0KNg9LSFImMZTmJD1gWtZ2QZRlI=-~Fy8BC50nL3QjtVAl7LstKA==</id>
</project>
</file>

<file path=customXml/itemProps1.xml><?xml version="1.0" encoding="utf-8"?>
<ds:datastoreItem xmlns:ds="http://schemas.openxmlformats.org/officeDocument/2006/customXml" ds:itemID="{4CA09D37-BBF1-4F86-96D2-3C3A2AA6E1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Details</vt:lpstr>
      <vt:lpstr>Map</vt:lpstr>
      <vt:lpstr>Loan</vt:lpstr>
      <vt:lpstr>Details!Print_Titles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Denzel Coleman</cp:lastModifiedBy>
  <cp:lastPrinted>2018-06-10T17:40:57Z</cp:lastPrinted>
  <dcterms:created xsi:type="dcterms:W3CDTF">2004-09-21T13:02:15Z</dcterms:created>
  <dcterms:modified xsi:type="dcterms:W3CDTF">2023-06-18T03:13:24Z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2077982347</vt:i4>
  </property>
  <property fmtid="{D5CDD505-2E9C-101B-9397-08002B2CF9AE}" pid="3" name="_EmailSubject">
    <vt:lpwstr>Version 3 - realty</vt:lpwstr>
  </property>
  <property fmtid="{D5CDD505-2E9C-101B-9397-08002B2CF9AE}" pid="4" name="_AuthorEmail">
    <vt:lpwstr>rgrauer@exchange.sba.miami.edu</vt:lpwstr>
  </property>
  <property fmtid="{D5CDD505-2E9C-101B-9397-08002B2CF9AE}" pid="5" name="_AuthorEmailDisplayName">
    <vt:lpwstr>Grauer, Robert T.</vt:lpwstr>
  </property>
  <property fmtid="{D5CDD505-2E9C-101B-9397-08002B2CF9AE}" pid="6" name="_ReviewingToolsShownOnce">
    <vt:lpwstr/>
  </property>
</Properties>
</file>