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G:\My Drive\Real Estate\Construction\"/>
    </mc:Choice>
  </mc:AlternateContent>
  <xr:revisionPtr revIDLastSave="0" documentId="13_ncr:1_{8F343F40-5C99-4700-BB69-96EE3062A16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alkthrough (Counts)" sheetId="7" r:id="rId1"/>
    <sheet name="Walthrough (Layout)" sheetId="6" r:id="rId2"/>
    <sheet name="Bid Underwriting" sheetId="8" r:id="rId3"/>
    <sheet name="Final Bid (Bulk)" sheetId="11" r:id="rId4"/>
    <sheet name="Final Bid (Itemized)" sheetId="10" r:id="rId5"/>
    <sheet name="Interior Schedule" sheetId="5" r:id="rId6"/>
    <sheet name="Material &amp; Labor Pricing" sheetId="9" r:id="rId7"/>
  </sheets>
  <definedNames>
    <definedName name="_xlnm._FilterDatabase" localSheetId="5" hidden="1">'Interior Schedule'!$A$1:$AR$18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2" i="11" l="1"/>
  <c r="H7" i="10" l="1"/>
  <c r="H4" i="10"/>
  <c r="H5" i="10"/>
  <c r="H6" i="10"/>
  <c r="H5" i="11"/>
  <c r="H6" i="11"/>
  <c r="E11" i="10" a="1"/>
  <c r="E11" i="10" s="1"/>
  <c r="A27" i="11"/>
  <c r="E8" i="11"/>
  <c r="H7" i="11"/>
  <c r="G7" i="11"/>
  <c r="E7" i="11"/>
  <c r="G6" i="11"/>
  <c r="E6" i="11"/>
  <c r="G5" i="11"/>
  <c r="E5" i="11"/>
  <c r="H4" i="11"/>
  <c r="G4" i="11"/>
  <c r="E4" i="11"/>
  <c r="H2" i="11"/>
  <c r="G2" i="11"/>
  <c r="E2" i="11"/>
  <c r="H1" i="11"/>
  <c r="G1" i="11"/>
  <c r="E1" i="11"/>
  <c r="M2" i="8"/>
  <c r="L2" i="8"/>
  <c r="K2" i="8"/>
  <c r="H97" i="8" l="1"/>
  <c r="E97" i="8"/>
  <c r="E81" i="9"/>
  <c r="I35" i="8"/>
  <c r="F35" i="8"/>
  <c r="I69" i="8"/>
  <c r="F69" i="8"/>
  <c r="I96" i="8"/>
  <c r="F96" i="8"/>
  <c r="C96" i="8" s="1"/>
  <c r="I95" i="8"/>
  <c r="F95" i="8"/>
  <c r="C95" i="8" s="1"/>
  <c r="C35" i="8" l="1"/>
  <c r="B35" i="8" s="1"/>
  <c r="C69" i="8"/>
  <c r="B69" i="8" s="1"/>
  <c r="B95" i="8"/>
  <c r="B96" i="8"/>
  <c r="H2" i="10"/>
  <c r="H1" i="10"/>
  <c r="G7" i="10"/>
  <c r="G6" i="10"/>
  <c r="G5" i="10"/>
  <c r="G4" i="10"/>
  <c r="G2" i="10"/>
  <c r="G1" i="10"/>
  <c r="E8" i="10"/>
  <c r="E7" i="10"/>
  <c r="E6" i="10"/>
  <c r="E5" i="10"/>
  <c r="E4" i="10"/>
  <c r="E2" i="10"/>
  <c r="E1" i="10"/>
  <c r="M35" i="8" l="1"/>
  <c r="L35" i="8"/>
  <c r="K35" i="8"/>
  <c r="L69" i="8"/>
  <c r="K69" i="8"/>
  <c r="M69" i="8"/>
  <c r="F88" i="8"/>
  <c r="C88" i="8" s="1"/>
  <c r="F87" i="8"/>
  <c r="C87" i="8" s="1"/>
  <c r="F86" i="8"/>
  <c r="C86" i="8" s="1"/>
  <c r="F85" i="8"/>
  <c r="C85" i="8" s="1"/>
  <c r="F84" i="8"/>
  <c r="C84" i="8" s="1"/>
  <c r="F83" i="8"/>
  <c r="C83" i="8" s="1"/>
  <c r="F82" i="8"/>
  <c r="C82" i="8" s="1"/>
  <c r="F78" i="8"/>
  <c r="C78" i="8" s="1"/>
  <c r="F77" i="8"/>
  <c r="C77" i="8" s="1"/>
  <c r="F76" i="8"/>
  <c r="C76" i="8" s="1"/>
  <c r="F30" i="8"/>
  <c r="F75" i="8"/>
  <c r="C75" i="8" s="1"/>
  <c r="F74" i="8"/>
  <c r="C74" i="8" s="1"/>
  <c r="F73" i="8"/>
  <c r="C73" i="8" s="1"/>
  <c r="F94" i="8"/>
  <c r="F50" i="8"/>
  <c r="C50" i="8" s="1"/>
  <c r="F40" i="8"/>
  <c r="C40" i="8" s="1"/>
  <c r="F26" i="8"/>
  <c r="C26" i="8" s="1"/>
  <c r="F16" i="8"/>
  <c r="C16" i="8" s="1"/>
  <c r="F7" i="8"/>
  <c r="C94" i="8" l="1"/>
  <c r="F97" i="8"/>
  <c r="C30" i="8"/>
  <c r="A27" i="10"/>
  <c r="D31" i="8" l="1"/>
  <c r="E31" i="8"/>
  <c r="E36" i="8" s="1"/>
  <c r="G31" i="8" l="1"/>
  <c r="F31" i="8"/>
  <c r="C31" i="8" s="1"/>
  <c r="E33" i="8" l="1"/>
  <c r="D33" i="8"/>
  <c r="E22" i="8"/>
  <c r="D22" i="8"/>
  <c r="E32" i="8"/>
  <c r="D32" i="8"/>
  <c r="E129" i="9"/>
  <c r="E128" i="9"/>
  <c r="E44" i="8"/>
  <c r="D44" i="8"/>
  <c r="H79" i="8"/>
  <c r="E79" i="8"/>
  <c r="F44" i="8" l="1"/>
  <c r="C44" i="8" s="1"/>
  <c r="F22" i="8"/>
  <c r="C22" i="8" s="1"/>
  <c r="F32" i="8"/>
  <c r="G33" i="8"/>
  <c r="F33" i="8"/>
  <c r="C33" i="8" s="1"/>
  <c r="G32" i="8"/>
  <c r="G44" i="8"/>
  <c r="G22" i="8"/>
  <c r="I75" i="8"/>
  <c r="B75" i="8" s="1"/>
  <c r="E123" i="9"/>
  <c r="H89" i="8"/>
  <c r="E89" i="8"/>
  <c r="C32" i="8" l="1"/>
  <c r="E59" i="9"/>
  <c r="B87" i="9"/>
  <c r="E87" i="9"/>
  <c r="L75" i="8" l="1"/>
  <c r="K75" i="8"/>
  <c r="M75" i="8"/>
  <c r="E63" i="9"/>
  <c r="B64" i="9"/>
  <c r="E56" i="9"/>
  <c r="E55" i="9"/>
  <c r="E53" i="9"/>
  <c r="E52" i="9"/>
  <c r="E127" i="9"/>
  <c r="H44" i="8" s="1"/>
  <c r="I44" i="8" s="1"/>
  <c r="B44" i="8" s="1"/>
  <c r="E126" i="9"/>
  <c r="E50" i="9"/>
  <c r="E49" i="9"/>
  <c r="E48" i="9"/>
  <c r="E47" i="9"/>
  <c r="E46" i="9"/>
  <c r="B20" i="9"/>
  <c r="K44" i="8" l="1"/>
  <c r="L44" i="8"/>
  <c r="M44" i="8"/>
  <c r="E124" i="9"/>
  <c r="E122" i="9"/>
  <c r="E121" i="9"/>
  <c r="B121" i="9"/>
  <c r="E120" i="9"/>
  <c r="E118" i="9"/>
  <c r="E117" i="9"/>
  <c r="E116" i="9"/>
  <c r="E115" i="9"/>
  <c r="E114" i="9"/>
  <c r="E112" i="9"/>
  <c r="E111" i="9"/>
  <c r="E110" i="9"/>
  <c r="E109" i="9"/>
  <c r="E108" i="9"/>
  <c r="H21" i="8" s="1"/>
  <c r="E107" i="9"/>
  <c r="E105" i="9"/>
  <c r="E104" i="9"/>
  <c r="E103" i="9"/>
  <c r="E102" i="9"/>
  <c r="E101" i="9"/>
  <c r="E100" i="9"/>
  <c r="E99" i="9"/>
  <c r="E98" i="9"/>
  <c r="E97" i="9"/>
  <c r="E96" i="9"/>
  <c r="E95" i="9"/>
  <c r="E93" i="9"/>
  <c r="E92" i="9"/>
  <c r="E91" i="9"/>
  <c r="E90" i="9"/>
  <c r="E88" i="9"/>
  <c r="E86" i="9"/>
  <c r="E85" i="9"/>
  <c r="E84" i="9"/>
  <c r="E82" i="9"/>
  <c r="E80" i="9"/>
  <c r="E79" i="9"/>
  <c r="E78" i="9"/>
  <c r="E77" i="9"/>
  <c r="E76" i="9"/>
  <c r="E75" i="9"/>
  <c r="B75" i="9"/>
  <c r="E23" i="8" s="1"/>
  <c r="F23" i="8" s="1"/>
  <c r="C23" i="8" s="1"/>
  <c r="E74" i="9"/>
  <c r="E73" i="9"/>
  <c r="E71" i="9"/>
  <c r="E70" i="9"/>
  <c r="E69" i="9"/>
  <c r="E68" i="9"/>
  <c r="E67" i="9"/>
  <c r="E65" i="9"/>
  <c r="E64" i="9"/>
  <c r="E62" i="9"/>
  <c r="E61" i="9"/>
  <c r="E60" i="9"/>
  <c r="E58" i="9"/>
  <c r="E57" i="9"/>
  <c r="E54" i="9"/>
  <c r="E51" i="9"/>
  <c r="E45" i="9"/>
  <c r="E44" i="9"/>
  <c r="E42" i="9"/>
  <c r="E41" i="9"/>
  <c r="E40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3" i="9"/>
  <c r="E22" i="9"/>
  <c r="E21" i="9"/>
  <c r="E20" i="9"/>
  <c r="E19" i="9"/>
  <c r="E18" i="9"/>
  <c r="E16" i="9"/>
  <c r="E15" i="9"/>
  <c r="E14" i="9"/>
  <c r="E13" i="9"/>
  <c r="E12" i="9"/>
  <c r="E11" i="9"/>
  <c r="B11" i="9"/>
  <c r="E10" i="9"/>
  <c r="B10" i="9"/>
  <c r="E9" i="9"/>
  <c r="B9" i="9"/>
  <c r="E54" i="8" s="1"/>
  <c r="E8" i="9"/>
  <c r="E6" i="9"/>
  <c r="E5" i="9"/>
  <c r="E4" i="9"/>
  <c r="E3" i="9"/>
  <c r="E2" i="9"/>
  <c r="AR2" i="5"/>
  <c r="AQ2" i="5"/>
  <c r="AP2" i="5"/>
  <c r="AO2" i="5"/>
  <c r="AN2" i="5"/>
  <c r="AM2" i="5"/>
  <c r="AL2" i="5"/>
  <c r="AK2" i="5"/>
  <c r="AJ2" i="5"/>
  <c r="AI2" i="5"/>
  <c r="AH2" i="5"/>
  <c r="AG2" i="5"/>
  <c r="AF2" i="5"/>
  <c r="AE2" i="5"/>
  <c r="AD2" i="5"/>
  <c r="AC2" i="5"/>
  <c r="AB2" i="5"/>
  <c r="AA2" i="5"/>
  <c r="Z2" i="5"/>
  <c r="Y2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I88" i="8"/>
  <c r="B88" i="8" s="1"/>
  <c r="I87" i="8"/>
  <c r="B87" i="8" s="1"/>
  <c r="I86" i="8"/>
  <c r="B86" i="8" s="1"/>
  <c r="I85" i="8"/>
  <c r="B85" i="8" s="1"/>
  <c r="I84" i="8"/>
  <c r="B84" i="8" s="1"/>
  <c r="I83" i="8"/>
  <c r="B83" i="8" s="1"/>
  <c r="I82" i="8"/>
  <c r="B82" i="8" s="1"/>
  <c r="I78" i="8"/>
  <c r="B78" i="8" s="1"/>
  <c r="I30" i="8"/>
  <c r="I73" i="8"/>
  <c r="B73" i="8" s="1"/>
  <c r="I74" i="8"/>
  <c r="B74" i="8" s="1"/>
  <c r="I94" i="8"/>
  <c r="I77" i="8"/>
  <c r="B77" i="8" s="1"/>
  <c r="I76" i="8"/>
  <c r="B76" i="8" s="1"/>
  <c r="I50" i="8"/>
  <c r="B50" i="8" s="1"/>
  <c r="G66" i="8"/>
  <c r="E66" i="8"/>
  <c r="G65" i="8"/>
  <c r="D65" i="8" s="1"/>
  <c r="E65" i="8"/>
  <c r="G64" i="8"/>
  <c r="D64" i="8" s="1"/>
  <c r="E64" i="8"/>
  <c r="G63" i="8"/>
  <c r="D63" i="8" s="1"/>
  <c r="E63" i="8"/>
  <c r="G34" i="8"/>
  <c r="D34" i="8" s="1"/>
  <c r="E34" i="8"/>
  <c r="G56" i="8"/>
  <c r="E56" i="8"/>
  <c r="G55" i="8"/>
  <c r="D55" i="8" s="1"/>
  <c r="E55" i="8"/>
  <c r="G49" i="8"/>
  <c r="D49" i="8" s="1"/>
  <c r="G48" i="8"/>
  <c r="D48" i="8" s="1"/>
  <c r="E48" i="8"/>
  <c r="G47" i="8"/>
  <c r="D47" i="8" s="1"/>
  <c r="E47" i="8"/>
  <c r="G46" i="8"/>
  <c r="D46" i="8" s="1"/>
  <c r="E46" i="8"/>
  <c r="G45" i="8"/>
  <c r="D45" i="8" s="1"/>
  <c r="I3" i="8"/>
  <c r="D3" i="8"/>
  <c r="F3" i="8" s="1"/>
  <c r="C3" i="8" s="1"/>
  <c r="G57" i="8"/>
  <c r="D57" i="8" s="1"/>
  <c r="E57" i="8"/>
  <c r="I40" i="8"/>
  <c r="B40" i="8" s="1"/>
  <c r="E39" i="8"/>
  <c r="D39" i="8"/>
  <c r="I26" i="8"/>
  <c r="B26" i="8" s="1"/>
  <c r="G67" i="8"/>
  <c r="E67" i="8"/>
  <c r="F67" i="8" s="1"/>
  <c r="C67" i="8" s="1"/>
  <c r="G25" i="8"/>
  <c r="E25" i="8"/>
  <c r="F25" i="8" s="1"/>
  <c r="C25" i="8" s="1"/>
  <c r="G24" i="8"/>
  <c r="D24" i="8" s="1"/>
  <c r="E24" i="8"/>
  <c r="G23" i="8"/>
  <c r="G21" i="8"/>
  <c r="E21" i="8"/>
  <c r="G68" i="8"/>
  <c r="E68" i="8"/>
  <c r="F68" i="8" s="1"/>
  <c r="C68" i="8" s="1"/>
  <c r="G20" i="8"/>
  <c r="E20" i="8"/>
  <c r="I16" i="8"/>
  <c r="B16" i="8" s="1"/>
  <c r="G15" i="8"/>
  <c r="E15" i="8"/>
  <c r="G14" i="8"/>
  <c r="E14" i="8"/>
  <c r="G13" i="8"/>
  <c r="E13" i="8"/>
  <c r="G12" i="8"/>
  <c r="E12" i="8"/>
  <c r="G11" i="8"/>
  <c r="E11" i="8"/>
  <c r="G10" i="8"/>
  <c r="E10" i="8"/>
  <c r="G9" i="8"/>
  <c r="E9" i="8"/>
  <c r="G8" i="8"/>
  <c r="E8" i="8"/>
  <c r="I7" i="8"/>
  <c r="B7" i="8" s="1"/>
  <c r="G6" i="8"/>
  <c r="D6" i="8" s="1"/>
  <c r="E6" i="8"/>
  <c r="D1" i="8"/>
  <c r="B14" i="7"/>
  <c r="G54" i="8" s="1"/>
  <c r="D54" i="8" s="1"/>
  <c r="B12" i="7"/>
  <c r="B13" i="7" s="1"/>
  <c r="G60" i="8" s="1"/>
  <c r="D60" i="8" s="1"/>
  <c r="F60" i="8" s="1"/>
  <c r="C60" i="8" l="1"/>
  <c r="B94" i="8"/>
  <c r="B97" i="8" s="1"/>
  <c r="I97" i="8"/>
  <c r="H34" i="8"/>
  <c r="I34" i="8" s="1"/>
  <c r="H47" i="8"/>
  <c r="I47" i="8" s="1"/>
  <c r="H46" i="8"/>
  <c r="I46" i="8" s="1"/>
  <c r="H45" i="8"/>
  <c r="I45" i="8" s="1"/>
  <c r="H49" i="8"/>
  <c r="I49" i="8" s="1"/>
  <c r="H48" i="8"/>
  <c r="I48" i="8" s="1"/>
  <c r="H24" i="8"/>
  <c r="I24" i="8" s="1"/>
  <c r="H31" i="8"/>
  <c r="H32" i="8"/>
  <c r="H33" i="8"/>
  <c r="I33" i="8" s="1"/>
  <c r="B33" i="8" s="1"/>
  <c r="H22" i="8"/>
  <c r="I22" i="8" s="1"/>
  <c r="B22" i="8" s="1"/>
  <c r="B30" i="8"/>
  <c r="E70" i="8"/>
  <c r="B3" i="8"/>
  <c r="F47" i="8"/>
  <c r="C47" i="8" s="1"/>
  <c r="F54" i="8"/>
  <c r="C54" i="8" s="1"/>
  <c r="F6" i="8"/>
  <c r="C6" i="8" s="1"/>
  <c r="F48" i="8"/>
  <c r="C48" i="8" s="1"/>
  <c r="F39" i="8"/>
  <c r="C39" i="8" s="1"/>
  <c r="F46" i="8"/>
  <c r="C46" i="8" s="1"/>
  <c r="F8" i="8"/>
  <c r="C8" i="8" s="1"/>
  <c r="F10" i="8"/>
  <c r="C10" i="8" s="1"/>
  <c r="F14" i="8"/>
  <c r="C14" i="8" s="1"/>
  <c r="F63" i="8"/>
  <c r="F65" i="8"/>
  <c r="C65" i="8" s="1"/>
  <c r="F12" i="8"/>
  <c r="C12" i="8" s="1"/>
  <c r="F21" i="8"/>
  <c r="C21" i="8" s="1"/>
  <c r="F24" i="8"/>
  <c r="C24" i="8" s="1"/>
  <c r="F9" i="8"/>
  <c r="C9" i="8" s="1"/>
  <c r="F11" i="8"/>
  <c r="C11" i="8" s="1"/>
  <c r="F13" i="8"/>
  <c r="C13" i="8" s="1"/>
  <c r="F15" i="8"/>
  <c r="C15" i="8" s="1"/>
  <c r="F57" i="8"/>
  <c r="C57" i="8" s="1"/>
  <c r="F55" i="8"/>
  <c r="C55" i="8" s="1"/>
  <c r="F34" i="8"/>
  <c r="F64" i="8"/>
  <c r="C64" i="8" s="1"/>
  <c r="E58" i="8"/>
  <c r="E41" i="8"/>
  <c r="E51" i="8"/>
  <c r="E27" i="8"/>
  <c r="E17" i="8"/>
  <c r="F79" i="8"/>
  <c r="I79" i="8"/>
  <c r="I89" i="8"/>
  <c r="F89" i="8"/>
  <c r="H12" i="8"/>
  <c r="I12" i="8" s="1"/>
  <c r="H6" i="8"/>
  <c r="H25" i="8"/>
  <c r="I25" i="8" s="1"/>
  <c r="H54" i="8"/>
  <c r="H57" i="8"/>
  <c r="H51" i="8" s="1"/>
  <c r="H13" i="8"/>
  <c r="I13" i="8" s="1"/>
  <c r="E45" i="8"/>
  <c r="H14" i="8"/>
  <c r="I14" i="8" s="1"/>
  <c r="H23" i="8"/>
  <c r="I23" i="8" s="1"/>
  <c r="H20" i="8"/>
  <c r="H8" i="8"/>
  <c r="I8" i="8" s="1"/>
  <c r="H39" i="8"/>
  <c r="H41" i="8" s="1"/>
  <c r="H9" i="8"/>
  <c r="I9" i="8" s="1"/>
  <c r="H10" i="8"/>
  <c r="I10" i="8" s="1"/>
  <c r="E49" i="8"/>
  <c r="H55" i="8"/>
  <c r="I55" i="8" s="1"/>
  <c r="H15" i="8"/>
  <c r="I15" i="8" s="1"/>
  <c r="H56" i="8"/>
  <c r="I56" i="8" s="1"/>
  <c r="H68" i="8"/>
  <c r="I68" i="8" s="1"/>
  <c r="B68" i="8" s="1"/>
  <c r="H66" i="8"/>
  <c r="I66" i="8" s="1"/>
  <c r="H67" i="8"/>
  <c r="I67" i="8" s="1"/>
  <c r="I60" i="8"/>
  <c r="H65" i="8"/>
  <c r="I65" i="8" s="1"/>
  <c r="H11" i="8"/>
  <c r="I11" i="8" s="1"/>
  <c r="H63" i="8"/>
  <c r="H64" i="8"/>
  <c r="I64" i="8" s="1"/>
  <c r="D20" i="8"/>
  <c r="F20" i="8" s="1"/>
  <c r="C20" i="8" s="1"/>
  <c r="D56" i="8"/>
  <c r="F56" i="8" s="1"/>
  <c r="C56" i="8" s="1"/>
  <c r="D66" i="8"/>
  <c r="F66" i="8" s="1"/>
  <c r="C66" i="8" s="1"/>
  <c r="I21" i="8"/>
  <c r="I31" i="8" l="1"/>
  <c r="B31" i="8" s="1"/>
  <c r="H36" i="8"/>
  <c r="K31" i="8"/>
  <c r="L31" i="8"/>
  <c r="M31" i="8"/>
  <c r="M22" i="8"/>
  <c r="L22" i="8"/>
  <c r="K22" i="8"/>
  <c r="K33" i="8"/>
  <c r="M33" i="8"/>
  <c r="L33" i="8"/>
  <c r="I32" i="8"/>
  <c r="B32" i="8" s="1"/>
  <c r="C63" i="8"/>
  <c r="C70" i="8" s="1"/>
  <c r="F70" i="8"/>
  <c r="I63" i="8"/>
  <c r="I70" i="8" s="1"/>
  <c r="H70" i="8"/>
  <c r="C34" i="8"/>
  <c r="C36" i="8" s="1"/>
  <c r="F36" i="8"/>
  <c r="B47" i="8"/>
  <c r="B46" i="8"/>
  <c r="B48" i="8"/>
  <c r="B56" i="8"/>
  <c r="B67" i="8"/>
  <c r="F41" i="8"/>
  <c r="B25" i="8"/>
  <c r="B23" i="8"/>
  <c r="B15" i="8"/>
  <c r="B11" i="8"/>
  <c r="B24" i="8"/>
  <c r="B14" i="8"/>
  <c r="B12" i="8"/>
  <c r="B66" i="8"/>
  <c r="B13" i="8"/>
  <c r="F49" i="8"/>
  <c r="B8" i="8"/>
  <c r="H27" i="8"/>
  <c r="B64" i="8"/>
  <c r="B9" i="8"/>
  <c r="B21" i="8"/>
  <c r="B10" i="8"/>
  <c r="B55" i="8"/>
  <c r="F45" i="8"/>
  <c r="B65" i="8"/>
  <c r="B60" i="8"/>
  <c r="H17" i="8"/>
  <c r="I54" i="8"/>
  <c r="B54" i="8" s="1"/>
  <c r="H58" i="8"/>
  <c r="C58" i="8"/>
  <c r="I57" i="8"/>
  <c r="B57" i="8" s="1"/>
  <c r="F58" i="8"/>
  <c r="K68" i="8"/>
  <c r="M85" i="8"/>
  <c r="L85" i="8"/>
  <c r="K85" i="8"/>
  <c r="K86" i="8"/>
  <c r="M86" i="8"/>
  <c r="L86" i="8"/>
  <c r="K82" i="8"/>
  <c r="M82" i="8"/>
  <c r="L82" i="8"/>
  <c r="L83" i="8"/>
  <c r="K83" i="8"/>
  <c r="M83" i="8"/>
  <c r="M84" i="8"/>
  <c r="K84" i="8"/>
  <c r="L84" i="8"/>
  <c r="M88" i="8"/>
  <c r="L88" i="8"/>
  <c r="K88" i="8"/>
  <c r="L87" i="8"/>
  <c r="K87" i="8"/>
  <c r="M87" i="8"/>
  <c r="M73" i="8"/>
  <c r="L73" i="8"/>
  <c r="K73" i="8"/>
  <c r="M77" i="8"/>
  <c r="L77" i="8"/>
  <c r="K77" i="8"/>
  <c r="L30" i="8"/>
  <c r="K30" i="8"/>
  <c r="M30" i="8"/>
  <c r="K78" i="8"/>
  <c r="M78" i="8"/>
  <c r="L78" i="8"/>
  <c r="M76" i="8"/>
  <c r="K76" i="8"/>
  <c r="L76" i="8"/>
  <c r="K50" i="8"/>
  <c r="M50" i="8"/>
  <c r="L50" i="8"/>
  <c r="K3" i="8"/>
  <c r="M3" i="8"/>
  <c r="L3" i="8"/>
  <c r="L40" i="8"/>
  <c r="K40" i="8"/>
  <c r="M40" i="8"/>
  <c r="M26" i="8"/>
  <c r="L26" i="8"/>
  <c r="K26" i="8"/>
  <c r="L74" i="8"/>
  <c r="M74" i="8"/>
  <c r="K74" i="8"/>
  <c r="C79" i="8"/>
  <c r="C89" i="8"/>
  <c r="B79" i="8"/>
  <c r="F27" i="8"/>
  <c r="I51" i="8"/>
  <c r="B89" i="8"/>
  <c r="I6" i="8"/>
  <c r="I20" i="8"/>
  <c r="I39" i="8"/>
  <c r="M23" i="8" l="1"/>
  <c r="M25" i="8"/>
  <c r="L67" i="8"/>
  <c r="B63" i="8"/>
  <c r="B34" i="8"/>
  <c r="K34" i="8" s="1"/>
  <c r="I36" i="8"/>
  <c r="M32" i="8"/>
  <c r="L32" i="8"/>
  <c r="K32" i="8"/>
  <c r="K60" i="8"/>
  <c r="C45" i="8"/>
  <c r="B45" i="8" s="1"/>
  <c r="C49" i="8"/>
  <c r="B49" i="8" s="1"/>
  <c r="L25" i="8"/>
  <c r="I41" i="8"/>
  <c r="B39" i="8"/>
  <c r="I17" i="8"/>
  <c r="I91" i="8" s="1"/>
  <c r="B6" i="8"/>
  <c r="I27" i="8"/>
  <c r="B20" i="8"/>
  <c r="I58" i="8"/>
  <c r="L60" i="8"/>
  <c r="M60" i="8"/>
  <c r="L23" i="8"/>
  <c r="K23" i="8"/>
  <c r="L68" i="8"/>
  <c r="F51" i="8"/>
  <c r="K56" i="8"/>
  <c r="M68" i="8"/>
  <c r="M79" i="8"/>
  <c r="M67" i="8"/>
  <c r="K67" i="8"/>
  <c r="K25" i="8"/>
  <c r="K89" i="8"/>
  <c r="L89" i="8"/>
  <c r="M89" i="8"/>
  <c r="L79" i="8"/>
  <c r="M64" i="8"/>
  <c r="L64" i="8"/>
  <c r="K64" i="8"/>
  <c r="M54" i="8"/>
  <c r="L54" i="8"/>
  <c r="K54" i="8"/>
  <c r="M65" i="8"/>
  <c r="L65" i="8"/>
  <c r="K65" i="8"/>
  <c r="M66" i="8"/>
  <c r="L66" i="8"/>
  <c r="K66" i="8"/>
  <c r="K47" i="8"/>
  <c r="M47" i="8"/>
  <c r="L47" i="8"/>
  <c r="M55" i="8"/>
  <c r="L55" i="8"/>
  <c r="K55" i="8"/>
  <c r="M46" i="8"/>
  <c r="L46" i="8"/>
  <c r="K46" i="8"/>
  <c r="M57" i="8"/>
  <c r="K57" i="8"/>
  <c r="L57" i="8"/>
  <c r="K48" i="8"/>
  <c r="M48" i="8"/>
  <c r="L48" i="8"/>
  <c r="K24" i="8"/>
  <c r="M24" i="8"/>
  <c r="L24" i="8"/>
  <c r="K21" i="8"/>
  <c r="L21" i="8"/>
  <c r="M21" i="8"/>
  <c r="K79" i="8"/>
  <c r="B36" i="8" l="1"/>
  <c r="B70" i="8"/>
  <c r="M34" i="8"/>
  <c r="M36" i="8" s="1"/>
  <c r="L34" i="8"/>
  <c r="L36" i="8" s="1"/>
  <c r="K36" i="8"/>
  <c r="K63" i="8"/>
  <c r="L63" i="8"/>
  <c r="L70" i="8" s="1"/>
  <c r="M63" i="8"/>
  <c r="M70" i="8" s="1"/>
  <c r="C51" i="8"/>
  <c r="M49" i="8"/>
  <c r="K49" i="8"/>
  <c r="L49" i="8"/>
  <c r="L45" i="8"/>
  <c r="K45" i="8"/>
  <c r="M45" i="8"/>
  <c r="B58" i="8"/>
  <c r="K58" i="8"/>
  <c r="B51" i="8"/>
  <c r="L56" i="8"/>
  <c r="M56" i="8"/>
  <c r="L39" i="8"/>
  <c r="L41" i="8" s="1"/>
  <c r="K39" i="8"/>
  <c r="M39" i="8"/>
  <c r="M41" i="8" s="1"/>
  <c r="M20" i="8"/>
  <c r="L20" i="8"/>
  <c r="L27" i="8" s="1"/>
  <c r="K20" i="8"/>
  <c r="B41" i="8"/>
  <c r="C41" i="8"/>
  <c r="B27" i="8"/>
  <c r="C27" i="8"/>
  <c r="K70" i="8" l="1"/>
  <c r="K27" i="8"/>
  <c r="L58" i="8"/>
  <c r="K51" i="8"/>
  <c r="L51" i="8"/>
  <c r="M51" i="8"/>
  <c r="M58" i="8"/>
  <c r="K41" i="8"/>
  <c r="M27" i="8"/>
  <c r="L6" i="8" l="1"/>
  <c r="K6" i="8"/>
  <c r="M6" i="8"/>
  <c r="F17" i="8" l="1"/>
  <c r="F91" i="8" s="1"/>
  <c r="C17" i="8"/>
  <c r="C91" i="8" s="1"/>
  <c r="B91" i="8" l="1"/>
  <c r="N3" i="8" s="1"/>
  <c r="O3" i="8" s="1"/>
  <c r="M10" i="8"/>
  <c r="L10" i="8"/>
  <c r="K10" i="8"/>
  <c r="M16" i="8"/>
  <c r="L16" i="8"/>
  <c r="K16" i="8"/>
  <c r="M11" i="8"/>
  <c r="L11" i="8"/>
  <c r="K11" i="8"/>
  <c r="M15" i="8"/>
  <c r="K15" i="8"/>
  <c r="L15" i="8"/>
  <c r="L8" i="8"/>
  <c r="K8" i="8"/>
  <c r="M8" i="8"/>
  <c r="D12" i="10" l="1"/>
  <c r="N60" i="8"/>
  <c r="O60" i="8" s="1"/>
  <c r="N32" i="8"/>
  <c r="O32" i="8" s="1"/>
  <c r="N45" i="8"/>
  <c r="O45" i="8" s="1"/>
  <c r="N84" i="8"/>
  <c r="O84" i="8" s="1"/>
  <c r="N50" i="8"/>
  <c r="O50" i="8" s="1"/>
  <c r="N86" i="8"/>
  <c r="O86" i="8" s="1"/>
  <c r="N7" i="8"/>
  <c r="N31" i="8"/>
  <c r="O31" i="8" s="1"/>
  <c r="N77" i="8"/>
  <c r="O77" i="8" s="1"/>
  <c r="N14" i="8"/>
  <c r="O14" i="8" s="1"/>
  <c r="N40" i="8"/>
  <c r="O40" i="8" s="1"/>
  <c r="N22" i="8"/>
  <c r="O22" i="8" s="1"/>
  <c r="N65" i="8"/>
  <c r="O65" i="8" s="1"/>
  <c r="N6" i="8"/>
  <c r="O6" i="8" s="1"/>
  <c r="N13" i="8"/>
  <c r="O13" i="8" s="1"/>
  <c r="N68" i="8"/>
  <c r="O68" i="8" s="1"/>
  <c r="N24" i="8"/>
  <c r="O24" i="8" s="1"/>
  <c r="N21" i="8"/>
  <c r="O21" i="8" s="1"/>
  <c r="N55" i="8"/>
  <c r="O55" i="8" s="1"/>
  <c r="N74" i="8"/>
  <c r="O74" i="8" s="1"/>
  <c r="N67" i="8"/>
  <c r="O67" i="8" s="1"/>
  <c r="N44" i="8"/>
  <c r="O44" i="8" s="1"/>
  <c r="N10" i="8"/>
  <c r="O10" i="8" s="1"/>
  <c r="N75" i="8"/>
  <c r="O75" i="8" s="1"/>
  <c r="N57" i="8"/>
  <c r="O57" i="8" s="1"/>
  <c r="N20" i="8"/>
  <c r="O20" i="8" s="1"/>
  <c r="N39" i="8"/>
  <c r="N82" i="8"/>
  <c r="O82" i="8" s="1"/>
  <c r="N88" i="8"/>
  <c r="O88" i="8" s="1"/>
  <c r="N73" i="8"/>
  <c r="O73" i="8" s="1"/>
  <c r="N64" i="8"/>
  <c r="O64" i="8" s="1"/>
  <c r="N76" i="8"/>
  <c r="O76" i="8" s="1"/>
  <c r="N66" i="8"/>
  <c r="O66" i="8" s="1"/>
  <c r="N48" i="8"/>
  <c r="O48" i="8" s="1"/>
  <c r="N35" i="8"/>
  <c r="O35" i="8" s="1"/>
  <c r="N25" i="8"/>
  <c r="O25" i="8" s="1"/>
  <c r="N83" i="8"/>
  <c r="O83" i="8" s="1"/>
  <c r="N9" i="8"/>
  <c r="O9" i="8" s="1"/>
  <c r="N87" i="8"/>
  <c r="O87" i="8" s="1"/>
  <c r="N34" i="8"/>
  <c r="O34" i="8" s="1"/>
  <c r="N33" i="8"/>
  <c r="O33" i="8" s="1"/>
  <c r="N23" i="8"/>
  <c r="O23" i="8" s="1"/>
  <c r="N69" i="8"/>
  <c r="O69" i="8" s="1"/>
  <c r="N54" i="8"/>
  <c r="O54" i="8" s="1"/>
  <c r="N47" i="8"/>
  <c r="O47" i="8" s="1"/>
  <c r="N30" i="8"/>
  <c r="O30" i="8" s="1"/>
  <c r="N49" i="8"/>
  <c r="O49" i="8" s="1"/>
  <c r="N46" i="8"/>
  <c r="O46" i="8" s="1"/>
  <c r="N16" i="8"/>
  <c r="O16" i="8" s="1"/>
  <c r="N56" i="8"/>
  <c r="O56" i="8" s="1"/>
  <c r="N26" i="8"/>
  <c r="O26" i="8" s="1"/>
  <c r="N15" i="8"/>
  <c r="O15" i="8" s="1"/>
  <c r="N12" i="8"/>
  <c r="O12" i="8" s="1"/>
  <c r="N85" i="8"/>
  <c r="O85" i="8" s="1"/>
  <c r="N8" i="8"/>
  <c r="O8" i="8" s="1"/>
  <c r="N11" i="8"/>
  <c r="O11" i="8" s="1"/>
  <c r="N78" i="8"/>
  <c r="O78" i="8" s="1"/>
  <c r="N63" i="8"/>
  <c r="O63" i="8" s="1"/>
  <c r="L7" i="8"/>
  <c r="L17" i="8" s="1"/>
  <c r="L91" i="8" s="1"/>
  <c r="B101" i="8" s="1"/>
  <c r="M7" i="8"/>
  <c r="M17" i="8" s="1"/>
  <c r="M91" i="8" s="1"/>
  <c r="B104" i="8" s="1"/>
  <c r="K7" i="8"/>
  <c r="B17" i="8"/>
  <c r="O58" i="8" l="1"/>
  <c r="N41" i="8"/>
  <c r="O39" i="8"/>
  <c r="O41" i="8" s="1"/>
  <c r="O27" i="8"/>
  <c r="D18" i="10"/>
  <c r="O36" i="8"/>
  <c r="O79" i="8"/>
  <c r="O70" i="8"/>
  <c r="O51" i="8"/>
  <c r="O89" i="8"/>
  <c r="O7" i="8"/>
  <c r="O17" i="8" s="1"/>
  <c r="N79" i="8"/>
  <c r="N58" i="8"/>
  <c r="N89" i="8"/>
  <c r="N51" i="8"/>
  <c r="N70" i="8"/>
  <c r="N17" i="8"/>
  <c r="N36" i="8"/>
  <c r="N27" i="8"/>
  <c r="K17" i="8"/>
  <c r="K91" i="8" s="1"/>
  <c r="B100" i="8" s="1"/>
  <c r="B103" i="8" s="1"/>
  <c r="B105" i="8" s="1"/>
  <c r="D17" i="10" l="1"/>
  <c r="O91" i="8"/>
  <c r="D13" i="10"/>
  <c r="D14" i="10"/>
  <c r="D19" i="10"/>
  <c r="D20" i="10"/>
  <c r="D15" i="10"/>
  <c r="D16" i="10"/>
  <c r="N91" i="8"/>
  <c r="D21" i="10"/>
  <c r="D23" i="10" l="1"/>
  <c r="D23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<sst xmlns="http://schemas.openxmlformats.org/spreadsheetml/2006/main" count="769" uniqueCount="349">
  <si>
    <t>www.renovabuilt.com</t>
  </si>
  <si>
    <t xml:space="preserve">Date: </t>
  </si>
  <si>
    <t>Santa Cruz, CA 95062</t>
  </si>
  <si>
    <t>estimates@renovabuilt.com</t>
  </si>
  <si>
    <t>Cost</t>
  </si>
  <si>
    <t>Discount</t>
  </si>
  <si>
    <t>Total</t>
  </si>
  <si>
    <t>Notes:</t>
  </si>
  <si>
    <t>Units</t>
  </si>
  <si>
    <t>Metrial+Labor Total</t>
  </si>
  <si>
    <t>Quantity</t>
  </si>
  <si>
    <t>Material</t>
  </si>
  <si>
    <t>Labor</t>
  </si>
  <si>
    <t>Sub Name</t>
  </si>
  <si>
    <t>Order</t>
  </si>
  <si>
    <t>Kitchen</t>
  </si>
  <si>
    <t>Johnny V</t>
  </si>
  <si>
    <t>Paint</t>
  </si>
  <si>
    <t>Matt Sadell</t>
  </si>
  <si>
    <t>General Labor</t>
  </si>
  <si>
    <t>Bathroom</t>
  </si>
  <si>
    <t>Demo</t>
  </si>
  <si>
    <t>Refridgerator</t>
  </si>
  <si>
    <t>Drywall/Mud (Misc)</t>
  </si>
  <si>
    <t>Range</t>
  </si>
  <si>
    <t xml:space="preserve">Baseboard </t>
  </si>
  <si>
    <t xml:space="preserve">Door Casing </t>
  </si>
  <si>
    <t>General Plumbing</t>
  </si>
  <si>
    <t>Vanity</t>
  </si>
  <si>
    <t>Receptacles/Switches</t>
  </si>
  <si>
    <t>Door Knobs and Hinges</t>
  </si>
  <si>
    <t>Medicine Cabitnet</t>
  </si>
  <si>
    <t>Light Fixtures</t>
  </si>
  <si>
    <t>Range Hood</t>
  </si>
  <si>
    <t>Smoke/Carbon Detector</t>
  </si>
  <si>
    <t>Bedroom Closet</t>
  </si>
  <si>
    <t>Drywall (Entire Unit)</t>
  </si>
  <si>
    <t>Plumbing (Move Water Heater)</t>
  </si>
  <si>
    <t>Plumbing (Move Water/Drain)</t>
  </si>
  <si>
    <t>Popcorn Ceilings</t>
  </si>
  <si>
    <t>Subfloor</t>
  </si>
  <si>
    <t>Subpanel Replacement</t>
  </si>
  <si>
    <t>W/D Unit</t>
  </si>
  <si>
    <t>Totals Material and Labor</t>
  </si>
  <si>
    <t>Project Management</t>
  </si>
  <si>
    <t>Insurance</t>
  </si>
  <si>
    <t>Profit</t>
  </si>
  <si>
    <t>Contingency</t>
  </si>
  <si>
    <t>Cleaning</t>
  </si>
  <si>
    <t>Total Costs</t>
  </si>
  <si>
    <t>Bid Price</t>
  </si>
  <si>
    <t>Scope List</t>
  </si>
  <si>
    <t>Day 1</t>
  </si>
  <si>
    <t>Day 2</t>
  </si>
  <si>
    <t>Day 3</t>
  </si>
  <si>
    <t>Day 4</t>
  </si>
  <si>
    <t>Day 5</t>
  </si>
  <si>
    <t xml:space="preserve">Day 6 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</si>
  <si>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</si>
  <si>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</si>
  <si>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</si>
  <si>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</si>
  <si>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</si>
  <si>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</si>
  <si>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</si>
  <si>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</si>
  <si>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</si>
  <si>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</si>
  <si>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</si>
  <si>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</si>
  <si>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</si>
  <si>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</si>
  <si>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</si>
  <si>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</si>
  <si>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</si>
  <si>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</si>
  <si>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</si>
  <si>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</si>
  <si>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</si>
  <si>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</si>
  <si>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</si>
  <si>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</si>
  <si>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</si>
  <si>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</si>
  <si>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</si>
  <si>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</si>
  <si>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</si>
  <si>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</si>
  <si>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</si>
  <si>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</si>
  <si>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</si>
  <si>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</si>
  <si>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-</t>
  </si>
  <si>
    <t>Sub Panel</t>
  </si>
  <si>
    <t xml:space="preserve">Flooring </t>
  </si>
  <si>
    <t>Electrical - Receptacles, Misc</t>
  </si>
  <si>
    <t>Mike Miranda</t>
  </si>
  <si>
    <t>Cabinets (New)</t>
  </si>
  <si>
    <t>Janusz Bar</t>
  </si>
  <si>
    <t>Kitchen Drywall/Mud</t>
  </si>
  <si>
    <t>Steve Messina</t>
  </si>
  <si>
    <t>Countertops (Formica)</t>
  </si>
  <si>
    <t>Countertops (Quartz)</t>
  </si>
  <si>
    <t>Josh, Greg</t>
  </si>
  <si>
    <t>Install Doors</t>
  </si>
  <si>
    <t>Baseboard</t>
  </si>
  <si>
    <t xml:space="preserve">Casing </t>
  </si>
  <si>
    <t>Tile</t>
  </si>
  <si>
    <t>Install Fixtures/Punch List</t>
  </si>
  <si>
    <t>909 B</t>
  </si>
  <si>
    <t>In-House</t>
  </si>
  <si>
    <t>Not required</t>
  </si>
  <si>
    <t>Not required (square D)</t>
  </si>
  <si>
    <t>NewLife</t>
  </si>
  <si>
    <t>Mark Roemke</t>
  </si>
  <si>
    <t>Trasnportation</t>
  </si>
  <si>
    <t>Measurements</t>
  </si>
  <si>
    <t>Living</t>
  </si>
  <si>
    <t>Bath</t>
  </si>
  <si>
    <t>Hallway</t>
  </si>
  <si>
    <t>Hall Closet</t>
  </si>
  <si>
    <t>Hall Closet 2</t>
  </si>
  <si>
    <t>Bed 1</t>
  </si>
  <si>
    <t>Bed 1 Closet</t>
  </si>
  <si>
    <t>Bed 2</t>
  </si>
  <si>
    <t>Bed 2 Closet</t>
  </si>
  <si>
    <t>Total SF</t>
  </si>
  <si>
    <t>Paint SF</t>
  </si>
  <si>
    <t>Floor SF</t>
  </si>
  <si>
    <t>SF</t>
  </si>
  <si>
    <t>Baseboards</t>
  </si>
  <si>
    <t>LF</t>
  </si>
  <si>
    <t>Plugs/Switches</t>
  </si>
  <si>
    <t>GFCIs</t>
  </si>
  <si>
    <t>Doors</t>
  </si>
  <si>
    <t>Countertops</t>
  </si>
  <si>
    <t>Bid Underwriting</t>
  </si>
  <si>
    <t>3 1/2 Pine</t>
  </si>
  <si>
    <t>3 1/2 MDF</t>
  </si>
  <si>
    <t>4 1/4 Pine</t>
  </si>
  <si>
    <t>Material Name</t>
  </si>
  <si>
    <t>Material Cost</t>
  </si>
  <si>
    <t>Standard (PHD Laminate)</t>
  </si>
  <si>
    <t>Pergo Outlast</t>
  </si>
  <si>
    <t>Lifeproof</t>
  </si>
  <si>
    <t>Flooring (includes underlayment)</t>
  </si>
  <si>
    <t>Formica (Ikea)</t>
  </si>
  <si>
    <t>Labor Price</t>
  </si>
  <si>
    <t>Unit</t>
  </si>
  <si>
    <t>1 Slab</t>
  </si>
  <si>
    <t>Quartz (manhatten)</t>
  </si>
  <si>
    <t>Quartz (calcutta)</t>
  </si>
  <si>
    <t>Carpet (all-in)</t>
  </si>
  <si>
    <t>Gluedown (all-in)</t>
  </si>
  <si>
    <t>Appliances</t>
  </si>
  <si>
    <t>Range 30" Electric</t>
  </si>
  <si>
    <t>Range 24" Electric</t>
  </si>
  <si>
    <t>Range 30" Gas</t>
  </si>
  <si>
    <t>Range 24" Gas</t>
  </si>
  <si>
    <t>Refrdgerator 30"</t>
  </si>
  <si>
    <t>Refrdgerator 24"</t>
  </si>
  <si>
    <t>Range Hood 30"</t>
  </si>
  <si>
    <t>Range Hood 24"</t>
  </si>
  <si>
    <t>Range Hood 30" w Microwave</t>
  </si>
  <si>
    <t>1 Unit</t>
  </si>
  <si>
    <t>included</t>
  </si>
  <si>
    <t>W/D Efficiency Unit</t>
  </si>
  <si>
    <t>W/D Stacked Unit</t>
  </si>
  <si>
    <t>Furnace</t>
  </si>
  <si>
    <t>standard cover</t>
  </si>
  <si>
    <t>standard replacement</t>
  </si>
  <si>
    <t>1 unit</t>
  </si>
  <si>
    <t>double replacement</t>
  </si>
  <si>
    <t>Sub 1</t>
  </si>
  <si>
    <t>Sub 2</t>
  </si>
  <si>
    <t>Sub 3</t>
  </si>
  <si>
    <t>Medicine Cabinet</t>
  </si>
  <si>
    <t>Bathtub/Shower</t>
  </si>
  <si>
    <t>subway backsplash</t>
  </si>
  <si>
    <t>shower (12x24)</t>
  </si>
  <si>
    <t>1 package</t>
  </si>
  <si>
    <t>Slab (6-Panel) 32x80</t>
  </si>
  <si>
    <t>Prehung (6-Panel) 32x80</t>
  </si>
  <si>
    <t>Hardware package (privacy)</t>
  </si>
  <si>
    <t>Hardware package (passage)</t>
  </si>
  <si>
    <t>Hardware package (entry)</t>
  </si>
  <si>
    <t>surround (glue-up)</t>
  </si>
  <si>
    <t>surround (direct-to-stud)</t>
  </si>
  <si>
    <t>_____ x _____</t>
  </si>
  <si>
    <t>Electrical</t>
  </si>
  <si>
    <t>Receptacles (TR)</t>
  </si>
  <si>
    <t>GFCI (TR)</t>
  </si>
  <si>
    <t>Custom</t>
  </si>
  <si>
    <t>Interior</t>
  </si>
  <si>
    <t>tub + drain</t>
  </si>
  <si>
    <t>Fridge</t>
  </si>
  <si>
    <t>Dishwasher</t>
  </si>
  <si>
    <t>Overhead</t>
  </si>
  <si>
    <t>Common Areas/Full Unit</t>
  </si>
  <si>
    <t>Tub/Shower</t>
  </si>
  <si>
    <t>Cabinets</t>
  </si>
  <si>
    <t>Med Cab</t>
  </si>
  <si>
    <t>Non-Inclusive</t>
  </si>
  <si>
    <t>Bathroom Misc</t>
  </si>
  <si>
    <t>1 door</t>
  </si>
  <si>
    <t>Backsplash</t>
  </si>
  <si>
    <t>Outlet Cover Only</t>
  </si>
  <si>
    <t>Flush-Mount Lt</t>
  </si>
  <si>
    <t>Bath Fan</t>
  </si>
  <si>
    <t>Faucet</t>
  </si>
  <si>
    <t>Faucet (amazon)</t>
  </si>
  <si>
    <t>Kitchen Light (track light amazon)</t>
  </si>
  <si>
    <t>Flush Mount Light (amazon)</t>
  </si>
  <si>
    <t>Kitchen Faucet (amazon)</t>
  </si>
  <si>
    <t>Kitchen Misc</t>
  </si>
  <si>
    <t>Kitchen Sink (PHD undermount)</t>
  </si>
  <si>
    <t>Home Depot Overmount Package</t>
  </si>
  <si>
    <t>Sink</t>
  </si>
  <si>
    <t>Granite</t>
  </si>
  <si>
    <t>Tub/Shower Surround</t>
  </si>
  <si>
    <t>Tub/Shower Pan</t>
  </si>
  <si>
    <t>Bath Floor</t>
  </si>
  <si>
    <t>Surround</t>
  </si>
  <si>
    <t>Common/Other:</t>
  </si>
  <si>
    <t>Bath:</t>
  </si>
  <si>
    <t>Kitchen:</t>
  </si>
  <si>
    <t>Closet Doors</t>
  </si>
  <si>
    <t>Item</t>
  </si>
  <si>
    <t>LVT (PHD)</t>
  </si>
  <si>
    <t>12x24 Ceramic</t>
  </si>
  <si>
    <t>Ceiling Light</t>
  </si>
  <si>
    <t>Plumbing</t>
  </si>
  <si>
    <t>Bath/Shower trim kit</t>
  </si>
  <si>
    <t>Quarter Turn Valves</t>
  </si>
  <si>
    <t>standup shower kit + drain</t>
  </si>
  <si>
    <t>shower pan</t>
  </si>
  <si>
    <t>Vanity Light (amazon)</t>
  </si>
  <si>
    <t>Hard Floor</t>
  </si>
  <si>
    <t>Carpet</t>
  </si>
  <si>
    <t>Dishwasher 24"</t>
  </si>
  <si>
    <t>tile surround 12x24</t>
  </si>
  <si>
    <t>tile surround subway</t>
  </si>
  <si>
    <t>Refinish (oak)</t>
  </si>
  <si>
    <t>Light/Fan</t>
  </si>
  <si>
    <t>Light/Fan Fixture</t>
  </si>
  <si>
    <t>Vanity Lt</t>
  </si>
  <si>
    <t>Vanity Light Fixture</t>
  </si>
  <si>
    <t>Link</t>
  </si>
  <si>
    <t>Casing</t>
  </si>
  <si>
    <t>Door Installation B</t>
  </si>
  <si>
    <t>Door Installation A</t>
  </si>
  <si>
    <t>Door Installation C</t>
  </si>
  <si>
    <t>Flooring (plank)</t>
  </si>
  <si>
    <t>Flooring (carpet)</t>
  </si>
  <si>
    <t>Flooring (stairs)</t>
  </si>
  <si>
    <t>Stairs</t>
  </si>
  <si>
    <t>Carbon/Smoke Det.</t>
  </si>
  <si>
    <t>Notes/Custom Spec:</t>
  </si>
  <si>
    <t>Renova Construction</t>
  </si>
  <si>
    <t>(831) 264-7982</t>
  </si>
  <si>
    <t>Phone:</t>
  </si>
  <si>
    <t>Email:</t>
  </si>
  <si>
    <t>Site Address:</t>
  </si>
  <si>
    <t>Description</t>
  </si>
  <si>
    <t>Owner:</t>
  </si>
  <si>
    <t>X</t>
  </si>
  <si>
    <t>GC License (B) 1066940</t>
  </si>
  <si>
    <t>BID No.:</t>
  </si>
  <si>
    <t>https://www.amazon.com/gp/product/B01H3OMH7Y/ref=ppx_yo_dt_b_asin_image_o03_s01?ie=UTF8&amp;psc=1</t>
  </si>
  <si>
    <t>https://www.amazon.com/gp/product/B078HX6HKR/ref=ppx_yo_dt_b_asin_image_o03_s01?ie=UTF8&amp;psc=1</t>
  </si>
  <si>
    <t>https://www.amazon.com/gp/product/B07PFVW9NJ/ref=ppx_yo_dt_b_asin_image_o03_s00?ie=UTF8&amp;psc=1</t>
  </si>
  <si>
    <t>https://www.amazon.com/Broan-413604-Non-Ducted-Under-Cabinet-Stainless/dp/B000HZZC2Y/ref=sr_1_4?dchild=1&amp;keywords=range+hood&amp;qid=1603650314&amp;refinements=p_89%3ABroan-NuTone&amp;rnid=2528832011&amp;s=appliances&amp;sr=1-4</t>
  </si>
  <si>
    <t>https://www.amazon.com/gp/product/B075ZQ9JTL/ref=ppx_yo_dt_b_asin_title_o01_s00?ie=UTF8&amp;psc=1</t>
  </si>
  <si>
    <t>Prehung (smooth) 30x80</t>
  </si>
  <si>
    <t>Prehung (smooth) 32x80</t>
  </si>
  <si>
    <t>Slab (smooth) 32x80</t>
  </si>
  <si>
    <t>Switches (smooth)</t>
  </si>
  <si>
    <t>Slab (smooth) 30x80</t>
  </si>
  <si>
    <t>Slab (smooth) 36x80</t>
  </si>
  <si>
    <t>Prehung (smooth) 36x82</t>
  </si>
  <si>
    <t>Blinds</t>
  </si>
  <si>
    <t>https://www.homedepot.com/p/Home-Decorators-Collection-White-Cordless-2-in-Faux-Wood-Blind-52-in-W-x-48-in-L-Actual-Size-51-5-in-W-x-48-in-L-10793478298686/206969309</t>
  </si>
  <si>
    <t>https://www.homedepot.com/p/Masonite-32-in-x-80-in-Flush-Hardboard-RIght-Handed-Hollow-Core-Smooth-Primed-Composite-Single-Prehung-Interior-Door-07092/100018118</t>
  </si>
  <si>
    <t>https://www.homedepot.com/p/BrassCraft-1-2-in-FIP-Inlet-x-1-2-in-Compression-Outlet-Multi-Turn-Angle-Valve-OR37X-C1/202047049</t>
  </si>
  <si>
    <t>https://www.homedepot.com/p/Masonite-30-in-x-80-in-Textured-6-Panel-Hollow-Core-Primed-Composite-Interior-Door-Slab-16474/100009838</t>
  </si>
  <si>
    <t>Prehung (6-Panel) 30x80</t>
  </si>
  <si>
    <t>Slab (6-Panel) 30x80</t>
  </si>
  <si>
    <t>Slab (6-Panel) 36x80</t>
  </si>
  <si>
    <t>https://www.homedepot.com/p/Masonite-30-in-x-80-in-Primed-White-Smooth-Flush-Hardboard-Hollow-Core-Composite-Interior-Door-Slab-14241/202289101</t>
  </si>
  <si>
    <t>Prehung (6-Panel) 36x82</t>
  </si>
  <si>
    <t>https://www.homedepot.com/p/Impact-Plus-72-in-x-80-in-Beveled-Edge-Backed-Mirror-Aluminum-Frame-Interior-Closet-Sliding-Door-with-Chrome-Trim-BMS6068/202524556</t>
  </si>
  <si>
    <t>https://www.homedepot.com/p/Masonite-30-in-x-80-in-6-Panel-Right-Handed-Hollow-Core-Textured-Primed-Composite-Single-Prehung-Interior-Door-07481/100064498</t>
  </si>
  <si>
    <t>Closet Door (bi-fold) 36x80</t>
  </si>
  <si>
    <t>Closet Door Mirror Kit 72x80</t>
  </si>
  <si>
    <t>https://www.homedepot.com/p/36-in-x-80-in-Colonist-Primed-Textured-Molded-Composite-MDF-Closet-Bi-Fold-Door-THDJW160600151/202037489</t>
  </si>
  <si>
    <t>https://www.homedepot.com/p/Woodgrain-Millwork-WM-366-11-16-in-x-2-1-4-in-x-84-in-Primed-Finger-Jointed-Casing-Molding-Door-Pack-10001390/202086608</t>
  </si>
  <si>
    <t>Casing (pine finger-joint)</t>
  </si>
  <si>
    <t>https://www.build.com/schlage-f10-ply/s504516?uid=491006</t>
  </si>
  <si>
    <t>Exterior Landlord Lock</t>
  </si>
  <si>
    <t>https://www.build.com/kwikset-816/s347635?uid=1216936</t>
  </si>
  <si>
    <t>136 Doyle St</t>
  </si>
  <si>
    <t>4" Quartz</t>
  </si>
  <si>
    <t>Shower Plum.</t>
  </si>
  <si>
    <t>Door Hardware</t>
  </si>
  <si>
    <t>https://www.homedepot.com/p/72-in-x-81-in-Colonial-Steel-Framed-White-Prime-Coated-Hardboard-Panels-Interior-Sliding-Door-COL-7281WH2R/202089890</t>
  </si>
  <si>
    <t>Cloest Sliding Set (6-panel) 72x81</t>
  </si>
  <si>
    <t>Kitchen Total</t>
  </si>
  <si>
    <t>Bathroom Total</t>
  </si>
  <si>
    <t>Common Area Total</t>
  </si>
  <si>
    <t>Non-Inclusive Total</t>
  </si>
  <si>
    <t>Toilet</t>
  </si>
  <si>
    <t>https://www.homedepot.com/p/KOHLER-Highline-Arc-The-Complete-Solution-2-piece-1-28-GPF-Single-Flush-Round-Front-Toilet-in-White-Slow-Close-Seat-Included-K-78253-0/307908573</t>
  </si>
  <si>
    <t>2in Faux (average)</t>
  </si>
  <si>
    <t>Entry Door</t>
  </si>
  <si>
    <t>Metal (average)</t>
  </si>
  <si>
    <t>Gen. Plum. A</t>
  </si>
  <si>
    <t>Gen. Plum. B</t>
  </si>
  <si>
    <t>Plumbing B</t>
  </si>
  <si>
    <t>Plumbing A</t>
  </si>
  <si>
    <t>Standard PHD 30" + porc. top</t>
  </si>
  <si>
    <t>Standard PHD 36" + porc. Top</t>
  </si>
  <si>
    <t>Shower Plumbing</t>
  </si>
  <si>
    <t>Hardware/Tools</t>
  </si>
  <si>
    <t>Material Tax</t>
  </si>
  <si>
    <t>Floor (waterproof)</t>
  </si>
  <si>
    <t>Flooring</t>
  </si>
  <si>
    <t>Flooring Total</t>
  </si>
  <si>
    <t>LxW</t>
  </si>
  <si>
    <t>PM + Ovhd</t>
  </si>
  <si>
    <t>650-483-8890</t>
  </si>
  <si>
    <t>Disclaimer:
*Contingency is 8%; Overhead Fee is included
*All bids include 50 SF of drywall demo and replacement.  Additional drywall work is subject to a separate bid.
*The work in this bid is primarily “cosmetic” meaning structural work, sheetrock work, or any other work that will alter the existing layout and/or structure of the property.  Non-cosmetic work will be subject to a seperate bid</t>
  </si>
  <si>
    <t xml:space="preserve">Gustavo </t>
  </si>
  <si>
    <t>923 Tamarack Ln #9, Sunnyvale, CA</t>
  </si>
  <si>
    <t>Scope of Work</t>
  </si>
  <si>
    <t>Bid</t>
  </si>
  <si>
    <t>Bedrooms</t>
  </si>
  <si>
    <t>Internal (not marked up)</t>
  </si>
  <si>
    <t>Plumbing Total</t>
  </si>
  <si>
    <t>reglaze (tub and surround)</t>
  </si>
  <si>
    <t>Bedrooms Total</t>
  </si>
  <si>
    <t>Misc</t>
  </si>
  <si>
    <t>Misc Total</t>
  </si>
  <si>
    <t>Totals</t>
  </si>
  <si>
    <t>Demolition</t>
  </si>
  <si>
    <t>Bedroom(s)</t>
  </si>
  <si>
    <t>Common Areas</t>
  </si>
  <si>
    <t xml:space="preserve">Plumbing </t>
  </si>
  <si>
    <r>
      <rPr>
        <b/>
        <sz val="11"/>
        <color rgb="FF000000"/>
        <rFont val="Bell MT"/>
        <family val="1"/>
      </rPr>
      <t xml:space="preserve">Kitchen: </t>
    </r>
    <r>
      <rPr>
        <sz val="11"/>
        <color rgb="FF000000"/>
        <rFont val="Bell MT"/>
        <family val="1"/>
      </rPr>
      <t xml:space="preserve">
Remove: All existing cabinets, countertop, appliances and lighting. 
Install: New white shaker cabinets with steel bar pulls, grey quarts countertop with undermount stainless steel sink, 4” grey quarts backsplash, connect sink with waste disposal and new p trap, new brushed nickel faucet, update ¼ turn valves to accommodate dishwasher, 24” dishwasher, 30” microwave range hood, 30” range, 30” refrigerator, 4 light spotlight, ceiling fan light combo, blinds for 7’ sliding door  
</t>
    </r>
    <r>
      <rPr>
        <b/>
        <sz val="11"/>
        <color rgb="FF000000"/>
        <rFont val="Bell MT"/>
        <family val="1"/>
      </rPr>
      <t xml:space="preserve">Living room:  </t>
    </r>
    <r>
      <rPr>
        <sz val="11"/>
        <color rgb="FF000000"/>
        <rFont val="Bell MT"/>
        <family val="1"/>
      </rPr>
      <t xml:space="preserve">
Remove: Existing flooring, baseboard, blinds, light fixture, wall heater  
Install: Laminate flooring, 3 ¼" Coronado baseboard, 2” faux wood blinds, 12” LED ceiling light, Williams double sided wall heater, Williams thermostat, smoke detector, carbon monoxide alarm 
</t>
    </r>
    <r>
      <rPr>
        <b/>
        <sz val="11"/>
        <color rgb="FF000000"/>
        <rFont val="Bell MT"/>
        <family val="1"/>
      </rPr>
      <t xml:space="preserve">Bathroom:  </t>
    </r>
    <r>
      <rPr>
        <sz val="11"/>
        <color rgb="FF000000"/>
        <rFont val="Bell MT"/>
        <family val="1"/>
      </rPr>
      <t xml:space="preserve">
Remove: Vanity, medicine cabinet, light fixture, shower door 
Install: LVT flooring, 3 ¼" Coronado baseboard, 30” Grey quarts vanity, 4” quarts backsplash, brushed nickel faucet, p trap, 15x26” medicine cabinet, 4-piece vanity light, 3-piece toiletry kit, re-finish tub and tile using HVLP spraying process. 
</t>
    </r>
    <r>
      <rPr>
        <b/>
        <sz val="11"/>
        <color rgb="FF000000"/>
        <rFont val="Bell MT"/>
        <family val="1"/>
      </rPr>
      <t xml:space="preserve">Bed 1:  </t>
    </r>
    <r>
      <rPr>
        <sz val="11"/>
        <color rgb="FF000000"/>
        <rFont val="Bell MT"/>
        <family val="1"/>
      </rPr>
      <t xml:space="preserve">
Remove: Existing flooring, baseboard, blinds, closet doors, lights fixture 
Install - Blinds, mirrored closet doors, carpet 3 ¼" Coronado baseboard, smoke detector, new satin nickel hardware and hinges, replace/repair defective doors and closet hardware 
</t>
    </r>
    <r>
      <rPr>
        <b/>
        <sz val="11"/>
        <color rgb="FF000000"/>
        <rFont val="Bell MT"/>
        <family val="1"/>
      </rPr>
      <t xml:space="preserve">Bed 2: </t>
    </r>
    <r>
      <rPr>
        <sz val="11"/>
        <color rgb="FF000000"/>
        <rFont val="Bell MT"/>
        <family val="1"/>
      </rPr>
      <t xml:space="preserve">
Remove: Existing flooring, baseboard, blinds, closet doors, lights fixture 
Install - Blinds, mirrored closet doors, carpet 3 ¼" Coronado baseboard, smoke detector, new satin nickel hardware and hinges, replace/repair defective doors and closet hardware 
</t>
    </r>
    <r>
      <rPr>
        <b/>
        <sz val="11"/>
        <color rgb="FF000000"/>
        <rFont val="Bell MT"/>
        <family val="1"/>
      </rPr>
      <t xml:space="preserve">Inclusions:  </t>
    </r>
    <r>
      <rPr>
        <sz val="11"/>
        <color rgb="FF000000"/>
        <rFont val="Bell MT"/>
        <family val="1"/>
      </rPr>
      <t xml:space="preserve">
Paint throughout – 2 Colours, update all electrical outlets and switches to Tamper-resistant white Decora, minor drywall/spackle touch up
</t>
    </r>
    <r>
      <rPr>
        <b/>
        <sz val="11"/>
        <color rgb="FF000000"/>
        <rFont val="Bell MT"/>
        <family val="1"/>
      </rPr>
      <t xml:space="preserve">Exclusions:
</t>
    </r>
    <r>
      <rPr>
        <sz val="11"/>
        <color rgb="FF000000"/>
        <rFont val="Bell MT"/>
        <family val="1"/>
      </rPr>
      <t>.....</t>
    </r>
  </si>
  <si>
    <t>Essential Remodel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</si>
</sst>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Tax:&quot;\ 0.00%"/>
    <numFmt numFmtId="165" formatCode="m/d"/>
  </numFmts>
  <fonts count="31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color rgb="FF46BDC6"/>
      <name val="Arial"/>
      <family val="2"/>
    </font>
    <font>
      <sz val="10"/>
      <color theme="9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50"/>
      <color rgb="FF000000"/>
      <name val="Arial"/>
      <family val="2"/>
    </font>
    <font>
      <sz val="100"/>
      <color rgb="FF000000"/>
      <name val="Arial"/>
      <family val="2"/>
    </font>
    <font>
      <b/>
      <sz val="10"/>
      <color theme="0" tint="-0.14999847407452621"/>
      <name val="Arial"/>
      <family val="2"/>
    </font>
    <font>
      <sz val="12"/>
      <color rgb="FF000000"/>
      <name val="Bell MT"/>
      <family val="1"/>
    </font>
    <font>
      <b/>
      <sz val="14"/>
      <color theme="1"/>
      <name val="Avenir Next LT Pro"/>
      <family val="2"/>
    </font>
    <font>
      <sz val="14"/>
      <color theme="1"/>
      <name val="Avenir Next LT Pro"/>
      <family val="2"/>
    </font>
    <font>
      <b/>
      <sz val="14"/>
      <color rgb="FF980000"/>
      <name val="Avenir Next LT Pro"/>
      <family val="2"/>
    </font>
    <font>
      <sz val="10"/>
      <color rgb="FF000000"/>
      <name val="Bell MT"/>
      <family val="1"/>
    </font>
    <font>
      <b/>
      <sz val="14"/>
      <color theme="0"/>
      <name val="Bell MT"/>
      <family val="1"/>
    </font>
    <font>
      <sz val="10"/>
      <color theme="0"/>
      <name val="Arial"/>
      <family val="2"/>
    </font>
    <font>
      <sz val="14"/>
      <color theme="0"/>
      <name val="Bell MT"/>
      <family val="1"/>
    </font>
    <font>
      <b/>
      <sz val="16"/>
      <color theme="0"/>
      <name val="Bell MT"/>
      <family val="1"/>
    </font>
    <font>
      <sz val="12"/>
      <color theme="1"/>
      <name val="Avenir Next LT Pro"/>
      <family val="2"/>
    </font>
    <font>
      <sz val="12"/>
      <color theme="0"/>
      <name val="Bell MT"/>
      <family val="1"/>
    </font>
    <font>
      <sz val="11"/>
      <color rgb="FF000000"/>
      <name val="Bell MT"/>
      <family val="1"/>
    </font>
    <font>
      <b/>
      <sz val="16"/>
      <color rgb="FF000000"/>
      <name val="Bell MT"/>
      <family val="1"/>
    </font>
    <font>
      <sz val="10"/>
      <color rgb="FF000000"/>
      <name val="Arial"/>
    </font>
    <font>
      <b/>
      <sz val="11"/>
      <color rgb="FF000000"/>
      <name val="Bell MT"/>
      <family val="1"/>
    </font>
  </fonts>
  <fills count="7">
    <fill>
      <patternFill patternType="none"/>
    </fill>
    <fill>
      <patternFill patternType="gray125"/>
    </fill>
    <fill>
      <patternFill patternType="solid">
        <fgColor rgb="FFE6B8AF"/>
        <bgColor rgb="FFE6B8AF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8D9DAA"/>
        <bgColor indexed="64"/>
      </patternFill>
    </fill>
    <fill>
      <patternFill patternType="solid">
        <fgColor rgb="FFC99864"/>
        <bgColor indexed="64"/>
      </patternFill>
    </fill>
  </fills>
  <borders count="28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9" fillId="0" borderId="0" applyFont="0" applyFill="0" applyBorder="0" applyAlignment="0" applyProtection="0"/>
  </cellStyleXfs>
  <cellXfs count="151">
    <xf numFmtId="0" fontId="0" fillId="0" borderId="0" xfId="0" applyFont="1" applyAlignment="1"/>
    <xf numFmtId="0" fontId="2" fillId="0" borderId="0" xfId="0" applyFont="1" applyAlignment="1">
      <alignment horizontal="center"/>
    </xf>
    <xf numFmtId="44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44" fontId="4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44" fontId="5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49" fontId="2" fillId="0" borderId="0" xfId="0" applyNumberFormat="1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49" fontId="2" fillId="0" borderId="0" xfId="0" applyNumberFormat="1" applyFont="1" applyAlignment="1">
      <alignment horizontal="center"/>
    </xf>
    <xf numFmtId="165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5" fontId="2" fillId="2" borderId="1" xfId="0" applyNumberFormat="1" applyFont="1" applyFill="1" applyBorder="1" applyAlignment="1">
      <alignment horizontal="right"/>
    </xf>
    <xf numFmtId="0" fontId="2" fillId="0" borderId="1" xfId="0" applyFont="1" applyBorder="1" applyAlignment="1"/>
    <xf numFmtId="49" fontId="2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2" fillId="0" borderId="1" xfId="0" applyFont="1" applyBorder="1" applyAlignment="1"/>
    <xf numFmtId="44" fontId="0" fillId="0" borderId="0" xfId="0" applyNumberFormat="1" applyFont="1" applyAlignment="1"/>
    <xf numFmtId="0" fontId="10" fillId="0" borderId="0" xfId="0" applyFont="1" applyAlignment="1"/>
    <xf numFmtId="0" fontId="0" fillId="0" borderId="2" xfId="0" applyFont="1" applyBorder="1" applyAlignment="1"/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9" fillId="0" borderId="0" xfId="0" applyFont="1" applyAlignment="1"/>
    <xf numFmtId="12" fontId="10" fillId="0" borderId="0" xfId="0" applyNumberFormat="1" applyFont="1" applyAlignment="1"/>
    <xf numFmtId="0" fontId="9" fillId="0" borderId="0" xfId="0" applyNumberFormat="1" applyFont="1" applyAlignment="1"/>
    <xf numFmtId="44" fontId="10" fillId="0" borderId="0" xfId="0" applyNumberFormat="1" applyFont="1" applyAlignment="1"/>
    <xf numFmtId="0" fontId="9" fillId="0" borderId="0" xfId="0" applyNumberFormat="1" applyFont="1" applyAlignment="1">
      <alignment horizontal="center"/>
    </xf>
    <xf numFmtId="0" fontId="10" fillId="0" borderId="0" xfId="0" applyNumberFormat="1" applyFont="1" applyAlignment="1">
      <alignment horizontal="center"/>
    </xf>
    <xf numFmtId="0" fontId="13" fillId="0" borderId="0" xfId="0" applyFont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3" xfId="0" applyFont="1" applyBorder="1" applyAlignment="1"/>
    <xf numFmtId="0" fontId="0" fillId="0" borderId="0" xfId="0" applyFont="1" applyBorder="1" applyAlignment="1"/>
    <xf numFmtId="0" fontId="0" fillId="0" borderId="4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14" fillId="0" borderId="7" xfId="0" applyFont="1" applyBorder="1" applyAlignment="1"/>
    <xf numFmtId="0" fontId="5" fillId="0" borderId="0" xfId="0" applyFont="1" applyFill="1" applyAlignment="1">
      <alignment horizontal="center"/>
    </xf>
    <xf numFmtId="0" fontId="0" fillId="0" borderId="0" xfId="0" applyFont="1" applyFill="1" applyAlignment="1"/>
    <xf numFmtId="44" fontId="4" fillId="0" borderId="0" xfId="0" applyNumberFormat="1" applyFont="1" applyFill="1" applyAlignment="1">
      <alignment horizontal="center"/>
    </xf>
    <xf numFmtId="44" fontId="5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44" fontId="5" fillId="3" borderId="0" xfId="0" applyNumberFormat="1" applyFont="1" applyFill="1" applyAlignment="1">
      <alignment horizontal="right"/>
    </xf>
    <xf numFmtId="0" fontId="9" fillId="0" borderId="5" xfId="0" applyFont="1" applyBorder="1" applyAlignment="1">
      <alignment vertical="center"/>
    </xf>
    <xf numFmtId="0" fontId="10" fillId="0" borderId="6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9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10" fillId="0" borderId="13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0" fontId="9" fillId="0" borderId="17" xfId="0" applyFont="1" applyBorder="1" applyAlignment="1">
      <alignment vertical="center"/>
    </xf>
    <xf numFmtId="0" fontId="15" fillId="0" borderId="18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44" fontId="4" fillId="0" borderId="0" xfId="0" applyNumberFormat="1" applyFont="1" applyAlignment="1">
      <alignment horizontal="left"/>
    </xf>
    <xf numFmtId="44" fontId="0" fillId="0" borderId="0" xfId="0" applyNumberFormat="1" applyFont="1" applyFill="1" applyAlignment="1"/>
    <xf numFmtId="44" fontId="12" fillId="0" borderId="0" xfId="0" applyNumberFormat="1" applyFont="1" applyAlignment="1">
      <alignment horizontal="center"/>
    </xf>
    <xf numFmtId="0" fontId="5" fillId="4" borderId="0" xfId="0" applyFont="1" applyFill="1" applyAlignment="1">
      <alignment wrapText="1"/>
    </xf>
    <xf numFmtId="9" fontId="6" fillId="3" borderId="0" xfId="0" applyNumberFormat="1" applyFont="1" applyFill="1" applyAlignment="1">
      <alignment horizontal="center"/>
    </xf>
    <xf numFmtId="9" fontId="5" fillId="3" borderId="0" xfId="0" applyNumberFormat="1" applyFont="1" applyFill="1" applyAlignment="1">
      <alignment horizontal="center"/>
    </xf>
    <xf numFmtId="12" fontId="9" fillId="0" borderId="0" xfId="0" applyNumberFormat="1" applyFont="1" applyAlignment="1"/>
    <xf numFmtId="0" fontId="9" fillId="0" borderId="0" xfId="0" applyFont="1" applyAlignment="1">
      <alignment horizontal="left"/>
    </xf>
    <xf numFmtId="0" fontId="9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5" fillId="0" borderId="0" xfId="0" applyFont="1" applyFill="1" applyAlignment="1">
      <alignment wrapText="1"/>
    </xf>
    <xf numFmtId="44" fontId="5" fillId="0" borderId="0" xfId="0" applyNumberFormat="1" applyFont="1" applyFill="1" applyAlignment="1">
      <alignment horizontal="center"/>
    </xf>
    <xf numFmtId="0" fontId="11" fillId="0" borderId="0" xfId="0" applyFont="1" applyFill="1" applyAlignment="1">
      <alignment wrapText="1"/>
    </xf>
    <xf numFmtId="0" fontId="10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vertical="center"/>
    </xf>
    <xf numFmtId="0" fontId="10" fillId="3" borderId="4" xfId="0" applyFont="1" applyFill="1" applyBorder="1" applyAlignment="1">
      <alignment horizontal="left" vertical="center"/>
    </xf>
    <xf numFmtId="0" fontId="0" fillId="3" borderId="0" xfId="0" applyFont="1" applyFill="1" applyAlignment="1">
      <alignment horizontal="center" vertical="center"/>
    </xf>
    <xf numFmtId="0" fontId="0" fillId="3" borderId="4" xfId="0" applyFont="1" applyFill="1" applyBorder="1" applyAlignment="1">
      <alignment vertical="center"/>
    </xf>
    <xf numFmtId="0" fontId="10" fillId="3" borderId="0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left" vertical="center"/>
    </xf>
    <xf numFmtId="0" fontId="0" fillId="3" borderId="14" xfId="0" applyFont="1" applyFill="1" applyBorder="1" applyAlignment="1">
      <alignment horizontal="center" vertical="center"/>
    </xf>
    <xf numFmtId="0" fontId="0" fillId="3" borderId="16" xfId="0" applyFont="1" applyFill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8" xfId="0" applyFont="1" applyBorder="1" applyAlignment="1">
      <alignment horizontal="left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1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44" fontId="19" fillId="0" borderId="0" xfId="0" applyNumberFormat="1" applyFont="1" applyBorder="1" applyAlignment="1">
      <alignment vertical="center"/>
    </xf>
    <xf numFmtId="44" fontId="17" fillId="0" borderId="0" xfId="0" applyNumberFormat="1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11" xfId="0" applyFont="1" applyBorder="1" applyAlignment="1">
      <alignment vertical="center"/>
    </xf>
    <xf numFmtId="0" fontId="10" fillId="0" borderId="0" xfId="0" applyFont="1" applyAlignment="1">
      <alignment vertical="center" wrapText="1"/>
    </xf>
    <xf numFmtId="0" fontId="10" fillId="3" borderId="16" xfId="0" applyFont="1" applyFill="1" applyBorder="1" applyAlignment="1">
      <alignment horizontal="center" vertical="center"/>
    </xf>
    <xf numFmtId="0" fontId="21" fillId="5" borderId="0" xfId="0" applyFont="1" applyFill="1" applyAlignment="1">
      <alignment vertical="center"/>
    </xf>
    <xf numFmtId="0" fontId="22" fillId="5" borderId="0" xfId="0" applyFont="1" applyFill="1" applyAlignment="1">
      <alignment vertical="center"/>
    </xf>
    <xf numFmtId="0" fontId="23" fillId="5" borderId="0" xfId="0" applyFont="1" applyFill="1" applyAlignment="1">
      <alignment vertical="center"/>
    </xf>
    <xf numFmtId="0" fontId="24" fillId="5" borderId="0" xfId="0" applyFont="1" applyFill="1" applyAlignment="1">
      <alignment vertical="center"/>
    </xf>
    <xf numFmtId="0" fontId="10" fillId="0" borderId="0" xfId="0" applyNumberFormat="1" applyFont="1" applyAlignment="1">
      <alignment horizontal="left"/>
    </xf>
    <xf numFmtId="0" fontId="4" fillId="0" borderId="0" xfId="0" applyFont="1" applyAlignment="1">
      <alignment wrapText="1"/>
    </xf>
    <xf numFmtId="0" fontId="9" fillId="0" borderId="0" xfId="0" applyFont="1" applyFill="1" applyAlignment="1"/>
    <xf numFmtId="0" fontId="9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4" xfId="0" applyFont="1" applyBorder="1" applyAlignment="1">
      <alignment horizontal="center" vertical="center"/>
    </xf>
    <xf numFmtId="0" fontId="9" fillId="0" borderId="11" xfId="0" applyFont="1" applyBorder="1" applyAlignment="1">
      <alignment vertical="center"/>
    </xf>
    <xf numFmtId="0" fontId="0" fillId="3" borderId="11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3" borderId="12" xfId="0" applyFont="1" applyFill="1" applyBorder="1" applyAlignment="1">
      <alignment horizontal="left" vertical="center"/>
    </xf>
    <xf numFmtId="9" fontId="5" fillId="0" borderId="0" xfId="0" applyNumberFormat="1" applyFont="1" applyFill="1" applyAlignment="1">
      <alignment horizontal="center"/>
    </xf>
    <xf numFmtId="10" fontId="5" fillId="3" borderId="0" xfId="0" applyNumberFormat="1" applyFont="1" applyFill="1" applyAlignment="1">
      <alignment horizontal="center"/>
    </xf>
    <xf numFmtId="0" fontId="4" fillId="0" borderId="0" xfId="0" applyFont="1" applyFill="1" applyAlignment="1">
      <alignment wrapText="1"/>
    </xf>
    <xf numFmtId="44" fontId="25" fillId="0" borderId="19" xfId="0" applyNumberFormat="1" applyFont="1" applyBorder="1" applyAlignment="1">
      <alignment vertical="center"/>
    </xf>
    <xf numFmtId="0" fontId="9" fillId="0" borderId="6" xfId="0" applyFont="1" applyBorder="1" applyAlignment="1">
      <alignment horizontal="center" vertical="center"/>
    </xf>
    <xf numFmtId="1" fontId="15" fillId="0" borderId="16" xfId="0" applyNumberFormat="1" applyFont="1" applyBorder="1" applyAlignment="1">
      <alignment horizontal="center" vertical="center"/>
    </xf>
    <xf numFmtId="0" fontId="23" fillId="5" borderId="0" xfId="0" applyFont="1" applyFill="1" applyAlignment="1">
      <alignment horizontal="left" vertical="center"/>
    </xf>
    <xf numFmtId="0" fontId="23" fillId="5" borderId="0" xfId="0" applyNumberFormat="1" applyFont="1" applyFill="1" applyAlignment="1">
      <alignment horizontal="left" vertical="center"/>
    </xf>
    <xf numFmtId="14" fontId="23" fillId="5" borderId="0" xfId="0" applyNumberFormat="1" applyFont="1" applyFill="1" applyAlignment="1">
      <alignment horizontal="left" vertical="center"/>
    </xf>
    <xf numFmtId="10" fontId="4" fillId="0" borderId="0" xfId="1" applyNumberFormat="1" applyFont="1" applyAlignment="1">
      <alignment horizontal="center"/>
    </xf>
    <xf numFmtId="44" fontId="4" fillId="4" borderId="0" xfId="0" applyNumberFormat="1" applyFont="1" applyFill="1" applyAlignment="1">
      <alignment horizontal="center"/>
    </xf>
    <xf numFmtId="0" fontId="25" fillId="0" borderId="25" xfId="0" applyFont="1" applyBorder="1" applyAlignment="1">
      <alignment horizontal="left" vertical="center" wrapText="1"/>
    </xf>
    <xf numFmtId="0" fontId="25" fillId="0" borderId="26" xfId="0" applyFont="1" applyBorder="1" applyAlignment="1">
      <alignment horizontal="left" vertical="center" wrapText="1"/>
    </xf>
    <xf numFmtId="0" fontId="25" fillId="0" borderId="27" xfId="0" applyFont="1" applyBorder="1" applyAlignment="1">
      <alignment horizontal="left" vertical="center" wrapText="1"/>
    </xf>
    <xf numFmtId="0" fontId="20" fillId="0" borderId="0" xfId="0" applyFont="1" applyAlignment="1">
      <alignment horizontal="left" vertical="top" wrapText="1"/>
    </xf>
    <xf numFmtId="0" fontId="26" fillId="5" borderId="0" xfId="0" applyFont="1" applyFill="1" applyAlignment="1">
      <alignment horizontal="left" vertical="center" wrapText="1"/>
    </xf>
    <xf numFmtId="0" fontId="28" fillId="6" borderId="0" xfId="0" applyFont="1" applyFill="1" applyBorder="1" applyAlignment="1">
      <alignment horizontal="center" vertical="center"/>
    </xf>
    <xf numFmtId="0" fontId="27" fillId="0" borderId="0" xfId="0" applyFont="1" applyAlignment="1">
      <alignment horizontal="left" vertical="top" wrapText="1"/>
    </xf>
  </cellXfs>
  <cellStyles count="2">
    <cellStyle name="Normal" xfId="0" builtinId="0"/>
    <cellStyle name="Percent" xfId="1" builtinId="5"/>
  </cellStyles>
  <dxfs count="4">
    <dxf>
      <font>
        <color theme="9"/>
      </font>
      <fill>
        <patternFill patternType="solid">
          <fgColor theme="9"/>
          <bgColor theme="9"/>
        </patternFill>
      </fill>
    </dxf>
    <dxf>
      <font>
        <color rgb="FFFF00FF"/>
      </font>
      <fill>
        <patternFill patternType="solid">
          <fgColor rgb="FFFF00FF"/>
          <bgColor rgb="FFFF00FF"/>
        </patternFill>
      </fill>
    </dxf>
    <dxf>
      <font>
        <color rgb="FF93C47D"/>
      </font>
      <fill>
        <patternFill patternType="solid">
          <fgColor rgb="FF93C47D"/>
          <bgColor rgb="FF93C47D"/>
        </patternFill>
      </fill>
    </dxf>
    <dxf>
      <font>
        <color rgb="FF46BDC6"/>
      </font>
      <fill>
        <patternFill patternType="solid">
          <fgColor rgb="FF46BDC6"/>
          <bgColor rgb="FF46BDC6"/>
        </patternFill>
      </fill>
    </dxf>
  </dxfs>
  <tableStyles count="0" defaultTableStyle="TableStyleMedium2" defaultPivotStyle="PivotStyleLight16"/>
  <colors>
    <mruColors>
      <color rgb="FFC99864"/>
      <color rgb="FF8D9DAA"/>
      <color rgb="FFCCB216"/>
      <color rgb="FFF4E5BA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3</v>
    <v>8</v>
    <v>29</v>
    <v>6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renovabuilt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renovabuilt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amazon.com/gp/product/B01H3OMH7Y/ref=ppx_yo_dt_b_asin_image_o03_s01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5790-755F-4AAA-8AF9-E8BFD20D770C}">
  <dimension ref="A1:H62"/>
  <sheetViews>
    <sheetView tabSelected="1" view="pageLayout" zoomScaleNormal="100" workbookViewId="0">
      <selection activeCell="D23" sqref="D23"/>
    </sheetView>
  </sheetViews>
  <sheetFormatPr defaultColWidth="9.140625" defaultRowHeight="12.75" x14ac:dyDescent="0.2"/>
  <cols>
    <col min="1" max="1" width="15.5703125" style="54" customWidth="1"/>
    <col min="2" max="2" width="10.42578125" style="54" customWidth="1"/>
    <col min="3" max="3" width="10.7109375" style="54" customWidth="1"/>
    <col min="4" max="4" width="10.7109375" style="68" customWidth="1"/>
    <col min="5" max="5" width="12.28515625" style="54" customWidth="1"/>
    <col min="6" max="6" width="10.7109375" style="66" customWidth="1"/>
    <col min="7" max="8" width="10.7109375" style="54" customWidth="1"/>
    <col min="9" max="16384" width="9.140625" style="54"/>
  </cols>
  <sheetData>
    <row r="1" spans="1:8" ht="22.5" customHeight="1" thickBot="1" x14ac:dyDescent="0.25">
      <c r="A1" s="52" t="s">
        <v>116</v>
      </c>
      <c r="B1" s="137" t="s">
        <v>327</v>
      </c>
      <c r="C1" s="122" t="s">
        <v>225</v>
      </c>
      <c r="D1" s="123" t="s">
        <v>11</v>
      </c>
      <c r="E1" s="124" t="s">
        <v>227</v>
      </c>
      <c r="F1" s="124" t="s">
        <v>10</v>
      </c>
      <c r="G1" s="124" t="s">
        <v>8</v>
      </c>
      <c r="H1" s="125" t="s">
        <v>11</v>
      </c>
    </row>
    <row r="2" spans="1:8" ht="22.5" customHeight="1" thickTop="1" x14ac:dyDescent="0.2">
      <c r="A2" s="70" t="s">
        <v>117</v>
      </c>
      <c r="B2" s="98"/>
      <c r="C2" s="58" t="s">
        <v>24</v>
      </c>
      <c r="D2" s="90"/>
      <c r="E2" s="55" t="s">
        <v>230</v>
      </c>
      <c r="F2" s="91"/>
      <c r="G2" s="57" t="s">
        <v>8</v>
      </c>
      <c r="H2" s="92"/>
    </row>
    <row r="3" spans="1:8" ht="22.5" customHeight="1" x14ac:dyDescent="0.2">
      <c r="A3" s="71" t="s">
        <v>15</v>
      </c>
      <c r="B3" s="114"/>
      <c r="C3" s="58" t="s">
        <v>33</v>
      </c>
      <c r="D3" s="90"/>
      <c r="E3" s="55" t="s">
        <v>135</v>
      </c>
      <c r="F3" s="91"/>
      <c r="G3" s="57" t="s">
        <v>129</v>
      </c>
      <c r="H3" s="93"/>
    </row>
    <row r="4" spans="1:8" ht="22.5" customHeight="1" x14ac:dyDescent="0.2">
      <c r="A4" s="71" t="s">
        <v>118</v>
      </c>
      <c r="B4" s="99"/>
      <c r="C4" s="58" t="s">
        <v>195</v>
      </c>
      <c r="D4" s="90"/>
      <c r="E4" s="55" t="s">
        <v>205</v>
      </c>
      <c r="F4" s="91"/>
      <c r="G4" s="57" t="s">
        <v>129</v>
      </c>
      <c r="H4" s="93"/>
    </row>
    <row r="5" spans="1:8" ht="22.5" customHeight="1" x14ac:dyDescent="0.2">
      <c r="A5" s="71" t="s">
        <v>119</v>
      </c>
      <c r="B5" s="99"/>
      <c r="C5" s="58" t="s">
        <v>196</v>
      </c>
      <c r="D5" s="90"/>
      <c r="E5" s="55"/>
      <c r="F5" s="56"/>
      <c r="G5" s="59"/>
      <c r="H5" s="60"/>
    </row>
    <row r="6" spans="1:8" ht="22.5" customHeight="1" x14ac:dyDescent="0.2">
      <c r="A6" s="71" t="s">
        <v>120</v>
      </c>
      <c r="B6" s="99"/>
      <c r="C6" s="58" t="s">
        <v>217</v>
      </c>
      <c r="D6" s="90"/>
      <c r="E6" s="63" t="s">
        <v>315</v>
      </c>
      <c r="F6" s="91"/>
      <c r="G6" s="57" t="s">
        <v>8</v>
      </c>
      <c r="H6" s="93"/>
    </row>
    <row r="7" spans="1:8" ht="22.5" customHeight="1" x14ac:dyDescent="0.2">
      <c r="A7" s="71" t="s">
        <v>121</v>
      </c>
      <c r="B7" s="99"/>
      <c r="C7" s="58" t="s">
        <v>209</v>
      </c>
      <c r="D7" s="90"/>
      <c r="E7" s="63" t="s">
        <v>316</v>
      </c>
      <c r="F7" s="91"/>
      <c r="G7" s="57" t="s">
        <v>8</v>
      </c>
      <c r="H7" s="93"/>
    </row>
    <row r="8" spans="1:8" ht="22.5" customHeight="1" thickBot="1" x14ac:dyDescent="0.25">
      <c r="A8" s="71" t="s">
        <v>122</v>
      </c>
      <c r="B8" s="99"/>
      <c r="C8" s="69"/>
      <c r="D8" s="67"/>
      <c r="E8" s="61"/>
      <c r="F8" s="65"/>
      <c r="G8" s="61"/>
      <c r="H8" s="62"/>
    </row>
    <row r="9" spans="1:8" ht="22.5" customHeight="1" thickBot="1" x14ac:dyDescent="0.25">
      <c r="A9" s="71" t="s">
        <v>123</v>
      </c>
      <c r="B9" s="99"/>
      <c r="C9" s="122" t="s">
        <v>224</v>
      </c>
      <c r="D9" s="123" t="s">
        <v>11</v>
      </c>
      <c r="E9" s="124" t="s">
        <v>227</v>
      </c>
      <c r="F9" s="124" t="s">
        <v>10</v>
      </c>
      <c r="G9" s="124" t="s">
        <v>8</v>
      </c>
      <c r="H9" s="125" t="s">
        <v>11</v>
      </c>
    </row>
    <row r="10" spans="1:8" ht="22.5" customHeight="1" thickTop="1" x14ac:dyDescent="0.2">
      <c r="A10" s="71" t="s">
        <v>124</v>
      </c>
      <c r="B10" s="99"/>
      <c r="C10" s="58" t="s">
        <v>199</v>
      </c>
      <c r="D10" s="90"/>
      <c r="E10" s="55" t="s">
        <v>222</v>
      </c>
      <c r="F10" s="91"/>
      <c r="G10" s="57" t="s">
        <v>129</v>
      </c>
      <c r="H10" s="93"/>
    </row>
    <row r="11" spans="1:8" ht="22.5" customHeight="1" x14ac:dyDescent="0.2">
      <c r="A11" s="71" t="s">
        <v>125</v>
      </c>
      <c r="B11" s="99"/>
      <c r="C11" s="58" t="s">
        <v>28</v>
      </c>
      <c r="D11" s="90"/>
      <c r="E11" s="63" t="s">
        <v>221</v>
      </c>
      <c r="F11" s="91"/>
      <c r="G11" s="57" t="s">
        <v>129</v>
      </c>
      <c r="H11" s="95"/>
    </row>
    <row r="12" spans="1:8" ht="22.5" customHeight="1" x14ac:dyDescent="0.2">
      <c r="A12" s="72" t="s">
        <v>126</v>
      </c>
      <c r="B12" s="138">
        <f>SUM(B2:B11)</f>
        <v>0</v>
      </c>
      <c r="C12" s="58" t="s">
        <v>245</v>
      </c>
      <c r="D12" s="90"/>
      <c r="E12" s="63" t="s">
        <v>208</v>
      </c>
      <c r="F12" s="96"/>
      <c r="G12" s="57" t="s">
        <v>8</v>
      </c>
      <c r="H12" s="93"/>
    </row>
    <row r="13" spans="1:8" ht="22.5" customHeight="1" x14ac:dyDescent="0.2">
      <c r="A13" s="72" t="s">
        <v>127</v>
      </c>
      <c r="B13" s="138">
        <f>B12</f>
        <v>0</v>
      </c>
      <c r="C13" s="58" t="s">
        <v>201</v>
      </c>
      <c r="D13" s="90"/>
      <c r="E13" s="63" t="s">
        <v>302</v>
      </c>
      <c r="F13" s="91"/>
      <c r="G13" s="57" t="s">
        <v>8</v>
      </c>
      <c r="H13" s="93"/>
    </row>
    <row r="14" spans="1:8" ht="22.5" customHeight="1" thickBot="1" x14ac:dyDescent="0.25">
      <c r="A14" s="73" t="s">
        <v>128</v>
      </c>
      <c r="B14" s="74">
        <f>B17+B19+F11</f>
        <v>0</v>
      </c>
      <c r="C14" s="106"/>
      <c r="D14" s="67"/>
      <c r="E14" s="129" t="s">
        <v>310</v>
      </c>
      <c r="F14" s="130"/>
      <c r="G14" s="131" t="s">
        <v>8</v>
      </c>
      <c r="H14" s="132"/>
    </row>
    <row r="15" spans="1:8" ht="22.5" customHeight="1" thickBot="1" x14ac:dyDescent="0.25">
      <c r="A15" s="52" t="s">
        <v>223</v>
      </c>
      <c r="B15" s="53" t="s">
        <v>10</v>
      </c>
      <c r="C15" s="126" t="s">
        <v>8</v>
      </c>
      <c r="D15" s="127" t="s">
        <v>11</v>
      </c>
      <c r="E15" s="126" t="s">
        <v>227</v>
      </c>
      <c r="F15" s="126" t="s">
        <v>10</v>
      </c>
      <c r="G15" s="126" t="s">
        <v>8</v>
      </c>
      <c r="H15" s="128" t="s">
        <v>11</v>
      </c>
    </row>
    <row r="16" spans="1:8" ht="22.5" customHeight="1" thickTop="1" x14ac:dyDescent="0.2">
      <c r="A16" s="55" t="s">
        <v>130</v>
      </c>
      <c r="B16" s="91"/>
      <c r="C16" s="56" t="s">
        <v>131</v>
      </c>
      <c r="D16" s="97"/>
      <c r="E16" s="63" t="s">
        <v>188</v>
      </c>
      <c r="F16" s="91"/>
      <c r="G16" s="57" t="s">
        <v>134</v>
      </c>
      <c r="H16" s="90"/>
    </row>
    <row r="17" spans="1:8" ht="22.5" customHeight="1" x14ac:dyDescent="0.2">
      <c r="A17" s="55" t="s">
        <v>237</v>
      </c>
      <c r="B17" s="91"/>
      <c r="C17" s="57" t="s">
        <v>129</v>
      </c>
      <c r="D17" s="97"/>
      <c r="E17" s="63" t="s">
        <v>188</v>
      </c>
      <c r="F17" s="91"/>
      <c r="G17" s="57" t="s">
        <v>134</v>
      </c>
      <c r="H17" s="90"/>
    </row>
    <row r="18" spans="1:8" ht="22.5" customHeight="1" x14ac:dyDescent="0.2">
      <c r="A18" s="55" t="s">
        <v>255</v>
      </c>
      <c r="B18" s="91"/>
      <c r="C18" s="57" t="s">
        <v>8</v>
      </c>
      <c r="D18" s="97"/>
      <c r="E18" s="63" t="s">
        <v>188</v>
      </c>
      <c r="F18" s="91"/>
      <c r="G18" s="57" t="s">
        <v>134</v>
      </c>
      <c r="H18" s="90"/>
    </row>
    <row r="19" spans="1:8" ht="22.5" customHeight="1" x14ac:dyDescent="0.2">
      <c r="A19" s="55" t="s">
        <v>238</v>
      </c>
      <c r="B19" s="91"/>
      <c r="C19" s="57" t="s">
        <v>129</v>
      </c>
      <c r="D19" s="97"/>
      <c r="E19" s="63" t="s">
        <v>188</v>
      </c>
      <c r="F19" s="91"/>
      <c r="G19" s="57" t="s">
        <v>226</v>
      </c>
      <c r="H19" s="90"/>
    </row>
    <row r="20" spans="1:8" ht="22.5" customHeight="1" x14ac:dyDescent="0.2">
      <c r="A20" s="55" t="s">
        <v>132</v>
      </c>
      <c r="B20" s="96"/>
      <c r="C20" s="57" t="s">
        <v>8</v>
      </c>
      <c r="D20" s="90" t="s">
        <v>190</v>
      </c>
      <c r="E20" s="86" t="s">
        <v>248</v>
      </c>
      <c r="F20" s="94"/>
      <c r="G20" s="75" t="s">
        <v>134</v>
      </c>
      <c r="H20" s="90"/>
    </row>
    <row r="21" spans="1:8" ht="22.5" customHeight="1" x14ac:dyDescent="0.2">
      <c r="A21" s="55" t="s">
        <v>133</v>
      </c>
      <c r="B21" s="91"/>
      <c r="C21" s="57" t="s">
        <v>8</v>
      </c>
      <c r="D21" s="90" t="s">
        <v>191</v>
      </c>
      <c r="E21" s="86" t="s">
        <v>303</v>
      </c>
      <c r="F21" s="94"/>
      <c r="G21" s="75" t="s">
        <v>134</v>
      </c>
      <c r="H21" s="90"/>
    </row>
    <row r="22" spans="1:8" ht="22.5" customHeight="1" x14ac:dyDescent="0.2">
      <c r="A22" s="55" t="s">
        <v>207</v>
      </c>
      <c r="B22" s="91"/>
      <c r="C22" s="57" t="s">
        <v>8</v>
      </c>
      <c r="D22" s="90" t="s">
        <v>212</v>
      </c>
      <c r="E22" s="63" t="s">
        <v>168</v>
      </c>
      <c r="F22" s="91"/>
      <c r="G22" s="57" t="s">
        <v>8</v>
      </c>
      <c r="H22" s="90"/>
    </row>
    <row r="23" spans="1:8" ht="22.5" customHeight="1" thickBot="1" x14ac:dyDescent="0.25">
      <c r="A23" s="55" t="s">
        <v>256</v>
      </c>
      <c r="B23" s="91"/>
      <c r="C23" s="57" t="s">
        <v>8</v>
      </c>
      <c r="D23" s="90" t="s">
        <v>34</v>
      </c>
      <c r="E23" s="63" t="s">
        <v>280</v>
      </c>
      <c r="F23" s="91"/>
      <c r="G23" s="57" t="s">
        <v>8</v>
      </c>
      <c r="H23" s="90"/>
    </row>
    <row r="24" spans="1:8" ht="22.5" customHeight="1" x14ac:dyDescent="0.2">
      <c r="A24" s="100" t="s">
        <v>257</v>
      </c>
      <c r="B24" s="101"/>
      <c r="C24" s="101"/>
      <c r="D24" s="102"/>
      <c r="E24" s="101"/>
      <c r="F24" s="103"/>
      <c r="G24" s="101"/>
      <c r="H24" s="104"/>
    </row>
    <row r="25" spans="1:8" ht="22.5" customHeight="1" x14ac:dyDescent="0.2">
      <c r="A25" s="105"/>
      <c r="B25" s="59"/>
      <c r="C25" s="59"/>
      <c r="D25" s="64"/>
      <c r="E25" s="59"/>
      <c r="F25" s="56"/>
      <c r="G25" s="59"/>
      <c r="H25" s="60"/>
    </row>
    <row r="26" spans="1:8" ht="22.5" customHeight="1" x14ac:dyDescent="0.2">
      <c r="A26" s="105"/>
      <c r="B26" s="59"/>
      <c r="C26" s="59"/>
      <c r="D26" s="64"/>
      <c r="E26" s="59"/>
      <c r="F26" s="56"/>
      <c r="G26" s="59"/>
      <c r="H26" s="60"/>
    </row>
    <row r="27" spans="1:8" ht="22.5" customHeight="1" x14ac:dyDescent="0.2">
      <c r="A27" s="105"/>
      <c r="B27" s="59"/>
      <c r="C27" s="59"/>
      <c r="D27" s="64"/>
      <c r="E27" s="59"/>
      <c r="F27" s="56"/>
      <c r="G27" s="59"/>
      <c r="H27" s="60"/>
    </row>
    <row r="28" spans="1:8" ht="22.5" customHeight="1" x14ac:dyDescent="0.2">
      <c r="A28" s="105"/>
      <c r="B28" s="59"/>
      <c r="C28" s="59"/>
      <c r="D28" s="64"/>
      <c r="E28" s="59"/>
      <c r="F28" s="56"/>
      <c r="G28" s="59"/>
      <c r="H28" s="60"/>
    </row>
    <row r="29" spans="1:8" ht="22.5" customHeight="1" x14ac:dyDescent="0.2">
      <c r="A29" s="105"/>
      <c r="B29" s="59"/>
      <c r="C29" s="59"/>
      <c r="D29" s="64"/>
      <c r="E29" s="59"/>
      <c r="F29" s="56"/>
      <c r="G29" s="59"/>
      <c r="H29" s="60"/>
    </row>
    <row r="30" spans="1:8" ht="22.5" customHeight="1" x14ac:dyDescent="0.2">
      <c r="A30" s="105"/>
      <c r="B30" s="59"/>
      <c r="C30" s="59"/>
      <c r="D30" s="64"/>
      <c r="E30" s="59"/>
      <c r="F30" s="56"/>
      <c r="G30" s="59"/>
      <c r="H30" s="60"/>
    </row>
    <row r="31" spans="1:8" ht="22.5" customHeight="1" thickBot="1" x14ac:dyDescent="0.25">
      <c r="A31" s="106"/>
      <c r="B31" s="61"/>
      <c r="C31" s="61"/>
      <c r="D31" s="67"/>
      <c r="E31" s="61"/>
      <c r="F31" s="65"/>
      <c r="G31" s="61"/>
      <c r="H31" s="62"/>
    </row>
    <row r="32" spans="1:8" ht="22.5" customHeight="1" x14ac:dyDescent="0.2"/>
    <row r="33" ht="22.5" customHeight="1" x14ac:dyDescent="0.2"/>
    <row r="34" ht="22.5" customHeight="1" x14ac:dyDescent="0.2"/>
    <row r="35" ht="22.5" customHeight="1" x14ac:dyDescent="0.2"/>
    <row r="36" ht="22.5" customHeight="1" x14ac:dyDescent="0.2"/>
    <row r="37" ht="18.75" customHeight="1" x14ac:dyDescent="0.2"/>
    <row r="38" ht="18.75" customHeight="1" x14ac:dyDescent="0.2"/>
    <row r="39" ht="18.75" customHeight="1" x14ac:dyDescent="0.2"/>
    <row r="40" ht="18.75" customHeight="1" x14ac:dyDescent="0.2"/>
    <row r="41" ht="18.75" customHeight="1" x14ac:dyDescent="0.2"/>
    <row r="42" ht="18.75" customHeight="1" x14ac:dyDescent="0.2"/>
    <row r="43" ht="18.75" customHeight="1" x14ac:dyDescent="0.2"/>
    <row r="44" ht="18.75" customHeight="1" x14ac:dyDescent="0.2"/>
    <row r="45" ht="18.75" customHeight="1" x14ac:dyDescent="0.2"/>
    <row r="46" ht="18.75" customHeight="1" x14ac:dyDescent="0.2"/>
    <row r="47" ht="18.75" customHeight="1" x14ac:dyDescent="0.2"/>
    <row r="48" ht="18.75" customHeight="1" x14ac:dyDescent="0.2"/>
    <row r="49" ht="18.75" customHeight="1" x14ac:dyDescent="0.2"/>
    <row r="50" ht="18.75" customHeight="1" x14ac:dyDescent="0.2"/>
    <row r="51" ht="18.75" customHeight="1" x14ac:dyDescent="0.2"/>
    <row r="52" ht="18.75" customHeight="1" x14ac:dyDescent="0.2"/>
    <row r="53" ht="18.75" customHeight="1" x14ac:dyDescent="0.2"/>
    <row r="54" ht="18.75" customHeight="1" x14ac:dyDescent="0.2"/>
    <row r="55" ht="18.75" customHeight="1" x14ac:dyDescent="0.2"/>
    <row r="56" ht="18.75" customHeight="1" x14ac:dyDescent="0.2"/>
    <row r="57" ht="18.75" customHeight="1" x14ac:dyDescent="0.2"/>
    <row r="58" ht="18.75" customHeight="1" x14ac:dyDescent="0.2"/>
    <row r="59" ht="18.75" customHeight="1" x14ac:dyDescent="0.2"/>
    <row r="60" ht="18.75" customHeight="1" x14ac:dyDescent="0.2"/>
    <row r="61" ht="18.75" customHeight="1" x14ac:dyDescent="0.2"/>
    <row r="62" ht="18.75" customHeight="1" x14ac:dyDescent="0.2"/>
  </sheetData>
  <pageMargins left="0.7" right="0.7" top="0.75" bottom="0.75" header="0.3" footer="0.3"/>
  <pageSetup orientation="portrait" r:id="rId1"/>
  <headerFooter>
    <oddHeader>&amp;LBID #:
BID DATE:&amp;C&amp;"Acier BAT Text Gris,Regular"&amp;24&amp;KC99864R&amp;14enova &amp;24&amp;KC99864C&amp;14&amp;KC99864onstruction</oddHeader>
  </headerFooter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C57E7AB0-6A0B-4E0F-82CC-741139A0A839}">
          <x14:formula1>
            <xm:f>'Material &amp; Labor Pricing'!$A$26:$A$38</xm:f>
          </x14:formula1>
          <xm:sqref>D2:D5</xm:sqref>
        </x14:dataValidation>
        <x14:dataValidation type="list" allowBlank="1" showInputMessage="1" showErrorMessage="1" xr:uid="{C13385E0-A03D-4BF5-8288-DD915B79D779}">
          <x14:formula1>
            <xm:f>'Material &amp; Labor Pricing'!$A$91:$A$93</xm:f>
          </x14:formula1>
          <xm:sqref>D11</xm:sqref>
        </x14:dataValidation>
        <x14:dataValidation type="list" allowBlank="1" showInputMessage="1" showErrorMessage="1" xr:uid="{997203C8-9C79-423F-8B8F-8B7253861EEE}">
          <x14:formula1>
            <xm:f>'Material &amp; Labor Pricing'!$A$68:$A$71</xm:f>
          </x14:formula1>
          <xm:sqref>H22</xm:sqref>
        </x14:dataValidation>
        <x14:dataValidation type="list" allowBlank="1" showInputMessage="1" showErrorMessage="1" xr:uid="{F437DC01-D2BB-44CE-A6D8-96B7B182FF8E}">
          <x14:formula1>
            <xm:f>'Material &amp; Labor Pricing'!$A$3:$A$6</xm:f>
          </x14:formula1>
          <xm:sqref>D16</xm:sqref>
        </x14:dataValidation>
        <x14:dataValidation type="list" allowBlank="1" showInputMessage="1" showErrorMessage="1" xr:uid="{747E228D-32B7-4315-B52D-1A5EDF7A4663}">
          <x14:formula1>
            <xm:f>'Material &amp; Labor Pricing'!$A$19:$A$23</xm:f>
          </x14:formula1>
          <xm:sqref>H3</xm:sqref>
        </x14:dataValidation>
        <x14:dataValidation type="list" allowBlank="1" showInputMessage="1" showErrorMessage="1" xr:uid="{4AC125F6-031C-41CA-AF6D-6D88645EF1B7}">
          <x14:formula1>
            <xm:f>'Material &amp; Labor Pricing'!$A$115:$A$118</xm:f>
          </x14:formula1>
          <xm:sqref>D6:D7</xm:sqref>
        </x14:dataValidation>
        <x14:dataValidation type="list" allowBlank="1" showInputMessage="1" showErrorMessage="1" xr:uid="{74325BEA-DDB6-4AB8-9103-832B96886935}">
          <x14:formula1>
            <xm:f>'Material &amp; Labor Pricing'!$A$85:$A$88</xm:f>
          </x14:formula1>
          <xm:sqref>H4</xm:sqref>
        </x14:dataValidation>
        <x14:dataValidation type="list" allowBlank="1" showInputMessage="1" showErrorMessage="1" xr:uid="{D170EEB7-484B-49D2-8A74-DB3FAA4BEE97}">
          <x14:formula1>
            <xm:f>'Material &amp; Labor Pricing'!$A$74:$A$82</xm:f>
          </x14:formula1>
          <xm:sqref>D10 H10</xm:sqref>
        </x14:dataValidation>
        <x14:dataValidation type="list" allowBlank="1" showInputMessage="1" showErrorMessage="1" xr:uid="{25EF57F9-071E-463D-9D14-44FB415113F4}">
          <x14:formula1>
            <xm:f>'Material &amp; Labor Pricing'!$A$108:$A$112</xm:f>
          </x14:formula1>
          <xm:sqref>D13 H11</xm:sqref>
        </x14:dataValidation>
        <x14:dataValidation type="list" allowBlank="1" showInputMessage="1" showErrorMessage="1" xr:uid="{9D0EDA10-4806-4F14-B8B1-92087145E6E1}">
          <x14:formula1>
            <xm:f>'Material &amp; Labor Pricing'!$A$121:$A$124</xm:f>
          </x14:formula1>
          <xm:sqref>H13:H14 H6:H7</xm:sqref>
        </x14:dataValidation>
        <x14:dataValidation type="list" allowBlank="1" showInputMessage="1" showErrorMessage="1" xr:uid="{E6337883-88B2-49E2-AACD-72B82C4A050E}">
          <x14:formula1>
            <xm:f>'Material &amp; Labor Pricing'!$A$9:$A$16</xm:f>
          </x14:formula1>
          <xm:sqref>D17:D19</xm:sqref>
        </x14:dataValidation>
        <x14:dataValidation type="list" allowBlank="1" showInputMessage="1" showErrorMessage="1" xr:uid="{A48F02CA-0EC5-4A7B-B66A-7D908F528371}">
          <x14:formula1>
            <xm:f>'Material &amp; Labor Pricing'!$A$96:$A$105</xm:f>
          </x14:formula1>
          <xm:sqref>H2 H12 D12 D20:D23</xm:sqref>
        </x14:dataValidation>
        <x14:dataValidation type="list" allowBlank="1" showInputMessage="1" showErrorMessage="1" xr:uid="{45212BBD-1D0E-445E-817B-2F4A941CD88A}">
          <x14:formula1>
            <xm:f>'Material &amp; Labor Pricing'!$A$45:$A$65</xm:f>
          </x14:formula1>
          <xm:sqref>H16:H21</xm:sqref>
        </x14:dataValidation>
        <x14:dataValidation type="list" allowBlank="1" showInputMessage="1" showErrorMessage="1" xr:uid="{772AE8E8-F18A-45B8-9DB0-3EC852E80967}">
          <x14:formula1>
            <xm:f>'Material &amp; Labor Pricing'!$A$127:$A$129</xm:f>
          </x14:formula1>
          <xm:sqref>H23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3B83-0D03-41E7-BF03-BD86B2B2F304}">
  <sheetPr>
    <pageSetUpPr fitToPage="1"/>
  </sheetPr>
  <dimension ref="A1:AE53"/>
  <sheetViews>
    <sheetView view="pageLayout" zoomScale="10" zoomScaleNormal="100" zoomScalePageLayoutView="10" workbookViewId="0">
      <selection activeCell="D40" sqref="D40"/>
    </sheetView>
  </sheetViews>
  <sheetFormatPr defaultRowHeight="87" customHeight="1" x14ac:dyDescent="0.8"/>
  <cols>
    <col min="1" max="1" width="29.85546875" style="35" customWidth="1"/>
    <col min="2" max="30" width="29.85546875" customWidth="1"/>
    <col min="31" max="31" width="26.7109375" customWidth="1"/>
  </cols>
  <sheetData>
    <row r="1" spans="1:30" ht="169.5" customHeight="1" x14ac:dyDescent="0.8">
      <c r="A1" s="35">
        <v>1</v>
      </c>
      <c r="B1" s="35">
        <v>2</v>
      </c>
      <c r="C1" s="35">
        <v>3</v>
      </c>
      <c r="D1" s="35">
        <v>4</v>
      </c>
      <c r="E1" s="35">
        <v>5</v>
      </c>
      <c r="F1" s="35">
        <v>6</v>
      </c>
      <c r="G1" s="35">
        <v>7</v>
      </c>
      <c r="H1" s="35">
        <v>8</v>
      </c>
      <c r="I1" s="35">
        <v>9</v>
      </c>
      <c r="J1" s="35">
        <v>10</v>
      </c>
      <c r="K1" s="35">
        <v>11</v>
      </c>
      <c r="L1" s="35">
        <v>12</v>
      </c>
      <c r="M1" s="35">
        <v>13</v>
      </c>
      <c r="N1" s="35">
        <v>14</v>
      </c>
      <c r="O1" s="35">
        <v>15</v>
      </c>
      <c r="P1" s="35">
        <v>16</v>
      </c>
      <c r="Q1" s="35">
        <v>17</v>
      </c>
      <c r="R1" s="35">
        <v>18</v>
      </c>
      <c r="S1" s="35">
        <v>19</v>
      </c>
      <c r="T1" s="35">
        <v>20</v>
      </c>
      <c r="U1" s="35">
        <v>21</v>
      </c>
      <c r="V1" s="35">
        <v>22</v>
      </c>
      <c r="W1" s="35">
        <v>23</v>
      </c>
      <c r="X1" s="35">
        <v>24</v>
      </c>
      <c r="Y1" s="35">
        <v>25</v>
      </c>
      <c r="Z1" s="35">
        <v>26</v>
      </c>
      <c r="AA1" s="35">
        <v>27</v>
      </c>
      <c r="AB1" s="35">
        <v>28</v>
      </c>
      <c r="AC1" s="35">
        <v>29</v>
      </c>
      <c r="AD1" s="35">
        <v>30</v>
      </c>
    </row>
    <row r="2" spans="1:30" ht="166.5" customHeight="1" x14ac:dyDescent="0.8">
      <c r="A2" s="35">
        <v>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</row>
    <row r="3" spans="1:30" ht="166.5" customHeight="1" x14ac:dyDescent="0.8">
      <c r="A3" s="35">
        <v>3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</row>
    <row r="4" spans="1:30" ht="166.5" customHeight="1" x14ac:dyDescent="0.8">
      <c r="A4" s="35">
        <v>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</row>
    <row r="5" spans="1:30" ht="166.5" customHeight="1" x14ac:dyDescent="0.8">
      <c r="A5" s="35">
        <v>5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6"/>
    </row>
    <row r="6" spans="1:30" ht="166.5" customHeight="1" x14ac:dyDescent="0.8">
      <c r="A6" s="35">
        <v>6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</row>
    <row r="7" spans="1:30" ht="166.5" customHeight="1" x14ac:dyDescent="0.8">
      <c r="A7" s="35">
        <v>7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</row>
    <row r="8" spans="1:30" ht="166.5" customHeight="1" x14ac:dyDescent="0.8">
      <c r="A8" s="35">
        <v>8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</row>
    <row r="9" spans="1:30" ht="166.5" customHeight="1" x14ac:dyDescent="0.8">
      <c r="A9" s="35">
        <v>9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</row>
    <row r="10" spans="1:30" ht="166.5" customHeight="1" x14ac:dyDescent="0.8">
      <c r="A10" s="35">
        <v>10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</row>
    <row r="11" spans="1:30" ht="166.5" customHeight="1" x14ac:dyDescent="0.8">
      <c r="A11" s="35">
        <v>11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</row>
    <row r="12" spans="1:30" ht="166.5" customHeight="1" x14ac:dyDescent="0.8">
      <c r="A12" s="35">
        <v>12</v>
      </c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</row>
    <row r="13" spans="1:30" ht="166.5" customHeight="1" x14ac:dyDescent="0.8">
      <c r="A13" s="35">
        <v>13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</row>
    <row r="14" spans="1:30" ht="166.5" customHeight="1" x14ac:dyDescent="0.8">
      <c r="A14" s="35">
        <v>14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</row>
    <row r="15" spans="1:30" ht="166.5" customHeight="1" x14ac:dyDescent="0.8">
      <c r="A15" s="35">
        <v>15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</row>
    <row r="16" spans="1:30" ht="166.5" customHeight="1" x14ac:dyDescent="0.8">
      <c r="A16" s="35">
        <v>16</v>
      </c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</row>
    <row r="17" spans="1:31" ht="166.5" customHeight="1" x14ac:dyDescent="0.8">
      <c r="A17" s="35">
        <v>17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</row>
    <row r="18" spans="1:31" ht="166.5" customHeight="1" x14ac:dyDescent="0.8">
      <c r="A18" s="35">
        <v>18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</row>
    <row r="19" spans="1:31" ht="166.5" customHeight="1" x14ac:dyDescent="0.8">
      <c r="A19" s="35">
        <v>19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</row>
    <row r="20" spans="1:31" ht="166.5" customHeight="1" x14ac:dyDescent="0.8">
      <c r="A20" s="35">
        <v>20</v>
      </c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</row>
    <row r="21" spans="1:31" ht="166.5" customHeight="1" x14ac:dyDescent="0.8">
      <c r="A21" s="35">
        <v>21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</row>
    <row r="22" spans="1:31" ht="166.5" customHeight="1" x14ac:dyDescent="0.8">
      <c r="A22" s="35">
        <v>22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</row>
    <row r="23" spans="1:31" ht="166.5" customHeight="1" x14ac:dyDescent="0.8">
      <c r="A23" s="35">
        <v>23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</row>
    <row r="24" spans="1:31" ht="166.5" customHeight="1" x14ac:dyDescent="0.8">
      <c r="A24" s="35">
        <v>24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</row>
    <row r="25" spans="1:31" ht="166.5" customHeight="1" x14ac:dyDescent="0.8">
      <c r="A25" s="35">
        <v>25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</row>
    <row r="26" spans="1:31" ht="166.5" customHeight="1" x14ac:dyDescent="0.8">
      <c r="A26" s="35">
        <v>26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</row>
    <row r="27" spans="1:31" ht="166.5" customHeight="1" x14ac:dyDescent="0.8">
      <c r="A27" s="35">
        <v>27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</row>
    <row r="28" spans="1:31" ht="166.5" customHeight="1" x14ac:dyDescent="0.8">
      <c r="A28" s="35">
        <v>28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</row>
    <row r="29" spans="1:31" ht="166.5" customHeight="1" x14ac:dyDescent="0.8">
      <c r="A29" s="35">
        <v>29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</row>
    <row r="30" spans="1:31" ht="166.5" customHeight="1" x14ac:dyDescent="0.8">
      <c r="A30" s="35">
        <v>30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</row>
    <row r="31" spans="1:31" ht="162" customHeight="1" thickBot="1" x14ac:dyDescent="0.85">
      <c r="A31" s="35">
        <v>1</v>
      </c>
      <c r="B31" s="35">
        <v>2</v>
      </c>
      <c r="C31" s="35">
        <v>3</v>
      </c>
      <c r="D31" s="35">
        <v>4</v>
      </c>
      <c r="E31" s="35">
        <v>5</v>
      </c>
      <c r="F31" s="35">
        <v>6</v>
      </c>
      <c r="G31" s="35">
        <v>7</v>
      </c>
      <c r="H31" s="35">
        <v>8</v>
      </c>
      <c r="I31" s="35">
        <v>9</v>
      </c>
      <c r="J31" s="35">
        <v>10</v>
      </c>
      <c r="K31" s="35">
        <v>11</v>
      </c>
      <c r="L31" s="35">
        <v>12</v>
      </c>
      <c r="M31" s="35">
        <v>13</v>
      </c>
      <c r="N31" s="35">
        <v>14</v>
      </c>
      <c r="O31" s="35">
        <v>15</v>
      </c>
      <c r="P31" s="35">
        <v>16</v>
      </c>
      <c r="Q31" s="35">
        <v>17</v>
      </c>
    </row>
    <row r="32" spans="1:31" ht="162" customHeight="1" x14ac:dyDescent="1.6">
      <c r="A32" s="35">
        <v>2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S32" s="44" t="s">
        <v>7</v>
      </c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7"/>
    </row>
    <row r="33" spans="1:31" ht="162" customHeight="1" x14ac:dyDescent="0.8">
      <c r="A33" s="35">
        <v>3</v>
      </c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S33" s="38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40"/>
    </row>
    <row r="34" spans="1:31" ht="162" customHeight="1" x14ac:dyDescent="0.8">
      <c r="A34" s="35">
        <v>4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S34" s="38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40"/>
    </row>
    <row r="35" spans="1:31" ht="162" customHeight="1" x14ac:dyDescent="0.8">
      <c r="A35" s="35">
        <v>5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S35" s="38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40"/>
    </row>
    <row r="36" spans="1:31" ht="162" customHeight="1" x14ac:dyDescent="0.8">
      <c r="A36" s="35">
        <v>6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S36" s="38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40"/>
    </row>
    <row r="37" spans="1:31" ht="162" customHeight="1" x14ac:dyDescent="0.8">
      <c r="A37" s="35">
        <v>7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S37" s="38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40"/>
    </row>
    <row r="38" spans="1:31" ht="162" customHeight="1" x14ac:dyDescent="0.8">
      <c r="A38" s="35">
        <v>8</v>
      </c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S38" s="38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40"/>
    </row>
    <row r="39" spans="1:31" ht="162" customHeight="1" x14ac:dyDescent="0.8">
      <c r="A39" s="35">
        <v>9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S39" s="38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40"/>
    </row>
    <row r="40" spans="1:31" ht="162" customHeight="1" x14ac:dyDescent="0.8">
      <c r="A40" s="35">
        <v>10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S40" s="38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40"/>
    </row>
    <row r="41" spans="1:31" ht="162" customHeight="1" x14ac:dyDescent="0.8">
      <c r="A41" s="35">
        <v>11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S41" s="38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40"/>
    </row>
    <row r="42" spans="1:31" ht="162" customHeight="1" thickBot="1" x14ac:dyDescent="0.85">
      <c r="A42" s="35">
        <v>12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S42" s="41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3"/>
    </row>
    <row r="43" spans="1:31" ht="162" customHeight="1" x14ac:dyDescent="0.8"/>
    <row r="44" spans="1:31" ht="162" customHeight="1" x14ac:dyDescent="0.8"/>
    <row r="45" spans="1:31" ht="162" customHeight="1" x14ac:dyDescent="0.8"/>
    <row r="46" spans="1:31" ht="162" customHeight="1" x14ac:dyDescent="0.8"/>
    <row r="47" spans="1:31" ht="162" customHeight="1" x14ac:dyDescent="0.8"/>
    <row r="48" spans="1:31" ht="162" customHeight="1" x14ac:dyDescent="0.8"/>
    <row r="49" ht="162" customHeight="1" x14ac:dyDescent="0.8"/>
    <row r="50" ht="162" customHeight="1" x14ac:dyDescent="0.8"/>
    <row r="51" ht="162" customHeight="1" x14ac:dyDescent="0.8"/>
    <row r="52" ht="162" customHeight="1" x14ac:dyDescent="0.8"/>
    <row r="53" ht="162" customHeight="1" x14ac:dyDescent="0.8"/>
  </sheetData>
  <pageMargins left="0.7" right="0.7" top="0.75" bottom="0.75" header="0.3" footer="0.3"/>
  <pageSetup scale="1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02D1-773B-47A3-B312-CA37F46A26C3}">
  <dimension ref="A1:Q105"/>
  <sheetViews>
    <sheetView workbookViewId="0">
      <selection activeCell="G94" sqref="G94"/>
    </sheetView>
  </sheetViews>
  <sheetFormatPr defaultRowHeight="12.75" x14ac:dyDescent="0.2"/>
  <cols>
    <col min="1" max="1" width="39" bestFit="1" customWidth="1"/>
    <col min="2" max="2" width="13.5703125" customWidth="1"/>
    <col min="3" max="3" width="13.5703125" hidden="1" customWidth="1"/>
    <col min="4" max="5" width="13.5703125" style="46" customWidth="1"/>
    <col min="6" max="6" width="13.5703125" customWidth="1"/>
    <col min="7" max="8" width="13.5703125" style="46" customWidth="1"/>
    <col min="9" max="9" width="13.5703125" customWidth="1"/>
    <col min="10" max="10" width="0" hidden="1" customWidth="1"/>
    <col min="11" max="15" width="13.42578125" hidden="1" customWidth="1"/>
  </cols>
  <sheetData>
    <row r="1" spans="1:17" ht="15" x14ac:dyDescent="0.25">
      <c r="A1" s="28" t="s">
        <v>136</v>
      </c>
      <c r="B1" s="6" t="s">
        <v>9</v>
      </c>
      <c r="C1" s="6" t="s">
        <v>323</v>
      </c>
      <c r="D1" s="49" t="str">
        <f>"Quantity"</f>
        <v>Quantity</v>
      </c>
      <c r="E1" s="47" t="s">
        <v>11</v>
      </c>
      <c r="F1" s="4" t="s">
        <v>6</v>
      </c>
      <c r="G1" s="49" t="s">
        <v>10</v>
      </c>
      <c r="H1" s="47" t="s">
        <v>12</v>
      </c>
      <c r="I1" s="4" t="s">
        <v>6</v>
      </c>
      <c r="K1" s="76" t="s">
        <v>45</v>
      </c>
      <c r="L1" s="76" t="s">
        <v>46</v>
      </c>
      <c r="M1" s="76" t="s">
        <v>47</v>
      </c>
      <c r="N1" s="76" t="s">
        <v>328</v>
      </c>
      <c r="O1" s="76" t="s">
        <v>342</v>
      </c>
    </row>
    <row r="2" spans="1:17" ht="14.25" x14ac:dyDescent="0.2">
      <c r="K2" s="133">
        <f>D100</f>
        <v>0.02</v>
      </c>
      <c r="L2" s="133">
        <f>D101</f>
        <v>0.15</v>
      </c>
      <c r="M2" s="133">
        <f>D104</f>
        <v>0.08</v>
      </c>
      <c r="N2" s="133"/>
      <c r="O2" s="133"/>
    </row>
    <row r="3" spans="1:17" ht="15" x14ac:dyDescent="0.25">
      <c r="A3" s="120" t="s">
        <v>21</v>
      </c>
      <c r="B3" s="7">
        <f>IFERROR(F3+I3+C3,0)</f>
        <v>0</v>
      </c>
      <c r="C3" s="7">
        <f>IFERROR((F3*$C$5),0)</f>
        <v>0</v>
      </c>
      <c r="D3" s="45">
        <f>G3</f>
        <v>1</v>
      </c>
      <c r="E3" s="48">
        <v>0</v>
      </c>
      <c r="F3" s="7">
        <f>IFERROR(((D3*E3)),0)</f>
        <v>0</v>
      </c>
      <c r="G3" s="45">
        <v>1</v>
      </c>
      <c r="H3" s="51">
        <v>0</v>
      </c>
      <c r="I3" s="4">
        <f>IFERROR(G3*H3,0)</f>
        <v>0</v>
      </c>
      <c r="K3" s="4">
        <f>B3*$K$2</f>
        <v>0</v>
      </c>
      <c r="L3" s="4">
        <f>B3*$L$2</f>
        <v>0</v>
      </c>
      <c r="M3" s="4">
        <f>B3*$M$2</f>
        <v>0</v>
      </c>
      <c r="N3" s="4" t="e">
        <f>((B3/$B$91)*($B$97))</f>
        <v>#DIV/0!</v>
      </c>
      <c r="O3" s="4" t="e">
        <f>N3+M3+L3+K3+B3</f>
        <v>#DIV/0!</v>
      </c>
      <c r="Q3" s="24"/>
    </row>
    <row r="4" spans="1:17" ht="15" x14ac:dyDescent="0.25">
      <c r="A4" s="120"/>
      <c r="B4" s="7"/>
      <c r="C4" s="7"/>
      <c r="D4" s="45"/>
      <c r="E4" s="48"/>
      <c r="F4" s="7"/>
      <c r="G4" s="45"/>
      <c r="H4" s="51"/>
      <c r="I4" s="4"/>
      <c r="K4" s="4"/>
      <c r="L4" s="4"/>
      <c r="M4" s="4"/>
      <c r="N4" s="4"/>
      <c r="O4" s="4"/>
      <c r="Q4" s="24"/>
    </row>
    <row r="5" spans="1:17" ht="15" x14ac:dyDescent="0.25">
      <c r="A5" s="28" t="s">
        <v>15</v>
      </c>
      <c r="C5" s="134">
        <v>9.2499999999999999E-2</v>
      </c>
    </row>
    <row r="6" spans="1:17" ht="14.25" x14ac:dyDescent="0.2">
      <c r="A6" s="27" t="s">
        <v>205</v>
      </c>
      <c r="B6" s="7">
        <f>IFERROR(F6+I6+C6,0)</f>
        <v>0</v>
      </c>
      <c r="C6" s="7">
        <f>IFERROR((F6*$C$5),0)</f>
        <v>0</v>
      </c>
      <c r="D6" s="45">
        <f>G6*120%</f>
        <v>0</v>
      </c>
      <c r="E6" s="48" t="e">
        <f>VLOOKUP('Walkthrough (Counts)'!$H$4,'Material &amp; Labor Pricing'!A85:B88,2,FALSE)</f>
        <v>#N/A</v>
      </c>
      <c r="F6" s="7">
        <f>IFERROR(((D6*E6)),0)</f>
        <v>0</v>
      </c>
      <c r="G6" s="45">
        <f>'Walkthrough (Counts)'!F4</f>
        <v>0</v>
      </c>
      <c r="H6" s="48" t="e">
        <f>VLOOKUP('Walkthrough (Counts)'!$H$4,'Material &amp; Labor Pricing'!E85:F88,2,FALSE)</f>
        <v>#N/A</v>
      </c>
      <c r="I6" s="7">
        <f>IFERROR(G6*H6,0)</f>
        <v>0</v>
      </c>
      <c r="J6" s="25"/>
      <c r="K6" s="7">
        <f>B6*$K$2</f>
        <v>0</v>
      </c>
      <c r="L6" s="7">
        <f>B6*$L$2</f>
        <v>0</v>
      </c>
      <c r="M6" s="7">
        <f>B6*$M$2</f>
        <v>0</v>
      </c>
      <c r="N6" s="7" t="e">
        <f t="shared" ref="N6:N16" si="0">((B6/$B$91)*($B$97))</f>
        <v>#DIV/0!</v>
      </c>
      <c r="O6" s="7" t="e">
        <f t="shared" ref="O6:O16" si="1">N6+M6+L6+K6+B6</f>
        <v>#DIV/0!</v>
      </c>
    </row>
    <row r="7" spans="1:17" ht="14.25" x14ac:dyDescent="0.2">
      <c r="A7" s="27" t="s">
        <v>200</v>
      </c>
      <c r="B7" s="7">
        <f t="shared" ref="B7:B16" si="2">IFERROR(F7+I7+C7,0)</f>
        <v>0</v>
      </c>
      <c r="C7" s="7">
        <v>0</v>
      </c>
      <c r="D7" s="50">
        <v>1</v>
      </c>
      <c r="E7" s="51">
        <v>0</v>
      </c>
      <c r="F7" s="7">
        <f t="shared" ref="F7:F16" si="3">IFERROR(((D7*E7)),0)</f>
        <v>0</v>
      </c>
      <c r="G7" s="50">
        <v>0</v>
      </c>
      <c r="H7" s="51">
        <v>50</v>
      </c>
      <c r="I7" s="7">
        <f t="shared" ref="I7:I16" si="4">IFERROR(G7*H7,0)</f>
        <v>0</v>
      </c>
      <c r="K7" s="7">
        <f t="shared" ref="K7:K16" si="5">B7*$K$2</f>
        <v>0</v>
      </c>
      <c r="L7" s="7">
        <f t="shared" ref="L7:L16" si="6">B7*$L$2</f>
        <v>0</v>
      </c>
      <c r="M7" s="7">
        <f t="shared" ref="M7:M16" si="7">B7*$M$2</f>
        <v>0</v>
      </c>
      <c r="N7" s="7" t="e">
        <f t="shared" si="0"/>
        <v>#DIV/0!</v>
      </c>
      <c r="O7" s="7" t="e">
        <f t="shared" si="1"/>
        <v>#DIV/0!</v>
      </c>
    </row>
    <row r="8" spans="1:17" ht="14.25" x14ac:dyDescent="0.2">
      <c r="A8" s="27" t="s">
        <v>135</v>
      </c>
      <c r="B8" s="7">
        <f t="shared" si="2"/>
        <v>0</v>
      </c>
      <c r="C8" s="7">
        <f t="shared" ref="C8:C16" si="8">IFERROR((F8*$C$5),0)</f>
        <v>0</v>
      </c>
      <c r="D8" s="50">
        <v>3</v>
      </c>
      <c r="E8" s="48" t="e">
        <f>VLOOKUP('Walkthrough (Counts)'!$H$3,'Material &amp; Labor Pricing'!A19:B23,2,FALSE)</f>
        <v>#N/A</v>
      </c>
      <c r="F8" s="7">
        <f t="shared" si="3"/>
        <v>0</v>
      </c>
      <c r="G8" s="45">
        <f>'Walkthrough (Counts)'!F3</f>
        <v>0</v>
      </c>
      <c r="H8" s="48" t="e">
        <f>VLOOKUP('Walkthrough (Counts)'!$H$3,'Material &amp; Labor Pricing'!E19:F23,2,FALSE)</f>
        <v>#N/A</v>
      </c>
      <c r="I8" s="7">
        <f t="shared" si="4"/>
        <v>0</v>
      </c>
      <c r="K8" s="7">
        <f t="shared" si="5"/>
        <v>0</v>
      </c>
      <c r="L8" s="7">
        <f t="shared" si="6"/>
        <v>0</v>
      </c>
      <c r="M8" s="7">
        <f t="shared" si="7"/>
        <v>0</v>
      </c>
      <c r="N8" s="7" t="e">
        <f t="shared" si="0"/>
        <v>#DIV/0!</v>
      </c>
      <c r="O8" s="7" t="e">
        <f t="shared" si="1"/>
        <v>#DIV/0!</v>
      </c>
    </row>
    <row r="9" spans="1:17" ht="14.25" x14ac:dyDescent="0.2">
      <c r="A9" s="27" t="s">
        <v>196</v>
      </c>
      <c r="B9" s="7">
        <f>IFERROR(F9+I9+C9,0)</f>
        <v>0</v>
      </c>
      <c r="C9" s="7">
        <f t="shared" si="8"/>
        <v>0</v>
      </c>
      <c r="D9" s="45">
        <v>1</v>
      </c>
      <c r="E9" s="48" t="e">
        <f>(VLOOKUP('Walkthrough (Counts)'!D5,'Material &amp; Labor Pricing'!$A$26:$B$38,2,FALSE))+35</f>
        <v>#N/A</v>
      </c>
      <c r="F9" s="7">
        <f>IFERROR(((D9*E9)),0)</f>
        <v>0</v>
      </c>
      <c r="G9" s="45">
        <f>D9</f>
        <v>1</v>
      </c>
      <c r="H9" s="48" t="e">
        <f>VLOOKUP('Walkthrough (Counts)'!D5,'Material &amp; Labor Pricing'!E29:F41,2,FALSE)</f>
        <v>#N/A</v>
      </c>
      <c r="I9" s="7">
        <f>IFERROR(G9*H9,0)</f>
        <v>0</v>
      </c>
      <c r="K9" s="7">
        <v>0</v>
      </c>
      <c r="L9" s="7">
        <v>0</v>
      </c>
      <c r="M9" s="7">
        <v>0</v>
      </c>
      <c r="N9" s="7" t="e">
        <f t="shared" si="0"/>
        <v>#DIV/0!</v>
      </c>
      <c r="O9" s="7" t="e">
        <f t="shared" si="1"/>
        <v>#DIV/0!</v>
      </c>
    </row>
    <row r="10" spans="1:17" ht="14.25" x14ac:dyDescent="0.2">
      <c r="A10" s="27" t="s">
        <v>209</v>
      </c>
      <c r="B10" s="7">
        <f>IFERROR(F10+I10+C10,0)</f>
        <v>0</v>
      </c>
      <c r="C10" s="7">
        <f t="shared" si="8"/>
        <v>0</v>
      </c>
      <c r="D10" s="45">
        <v>1</v>
      </c>
      <c r="E10" s="48" t="e">
        <f>VLOOKUP('Walkthrough (Counts)'!$D$7,'Material &amp; Labor Pricing'!A115:B118,2,FALSE)</f>
        <v>#N/A</v>
      </c>
      <c r="F10" s="7">
        <f>IFERROR(((D10*E10)),0)</f>
        <v>0</v>
      </c>
      <c r="G10" s="45">
        <f>D10</f>
        <v>1</v>
      </c>
      <c r="H10" s="48" t="e">
        <f>VLOOKUP('Walkthrough (Counts)'!$D$7,'Material &amp; Labor Pricing'!E115:F118,2,FALSE)</f>
        <v>#N/A</v>
      </c>
      <c r="I10" s="7">
        <f>IFERROR(G10*H10,0)</f>
        <v>0</v>
      </c>
      <c r="K10" s="7">
        <f>B10*$K$2</f>
        <v>0</v>
      </c>
      <c r="L10" s="7">
        <f>B10*$L$2</f>
        <v>0</v>
      </c>
      <c r="M10" s="7">
        <f>B10*$M$2</f>
        <v>0</v>
      </c>
      <c r="N10" s="7" t="e">
        <f t="shared" si="0"/>
        <v>#DIV/0!</v>
      </c>
      <c r="O10" s="7" t="e">
        <f t="shared" si="1"/>
        <v>#DIV/0!</v>
      </c>
    </row>
    <row r="11" spans="1:17" ht="14.25" x14ac:dyDescent="0.2">
      <c r="A11" s="27" t="s">
        <v>243</v>
      </c>
      <c r="B11" s="7">
        <f t="shared" si="2"/>
        <v>0</v>
      </c>
      <c r="C11" s="7">
        <f t="shared" si="8"/>
        <v>0</v>
      </c>
      <c r="D11" s="45">
        <v>1</v>
      </c>
      <c r="E11" s="48" t="e">
        <f>VLOOKUP('Walkthrough (Counts)'!H2,'Material &amp; Labor Pricing'!$A$96:$B$105,2,FALSE)</f>
        <v>#N/A</v>
      </c>
      <c r="F11" s="7">
        <f t="shared" si="3"/>
        <v>0</v>
      </c>
      <c r="G11" s="45">
        <f t="shared" ref="G11" si="9">D11</f>
        <v>1</v>
      </c>
      <c r="H11" s="48" t="e">
        <f>VLOOKUP('Walkthrough (Counts)'!H2,'Material &amp; Labor Pricing'!$E$96:$F$105,2,FALSE)</f>
        <v>#N/A</v>
      </c>
      <c r="I11" s="7">
        <f t="shared" si="4"/>
        <v>0</v>
      </c>
      <c r="K11" s="7">
        <f t="shared" si="5"/>
        <v>0</v>
      </c>
      <c r="L11" s="7">
        <f t="shared" si="6"/>
        <v>0</v>
      </c>
      <c r="M11" s="7">
        <f t="shared" si="7"/>
        <v>0</v>
      </c>
      <c r="N11" s="7" t="e">
        <f t="shared" si="0"/>
        <v>#DIV/0!</v>
      </c>
      <c r="O11" s="7" t="e">
        <f t="shared" si="1"/>
        <v>#DIV/0!</v>
      </c>
    </row>
    <row r="12" spans="1:17" ht="14.25" x14ac:dyDescent="0.2">
      <c r="A12" s="8" t="s">
        <v>24</v>
      </c>
      <c r="B12" s="7">
        <f>IFERROR(F12+I12+C12,0)</f>
        <v>0</v>
      </c>
      <c r="C12" s="7">
        <f t="shared" si="8"/>
        <v>0</v>
      </c>
      <c r="D12" s="45">
        <v>1</v>
      </c>
      <c r="E12" s="48" t="e">
        <f>(VLOOKUP('Walkthrough (Counts)'!$D$2,'Material &amp; Labor Pricing'!$A$26:$B$38,2,FALSE))+35</f>
        <v>#N/A</v>
      </c>
      <c r="F12" s="7">
        <f>IFERROR(((D12*E12)),0)</f>
        <v>0</v>
      </c>
      <c r="G12" s="45">
        <f>D12</f>
        <v>1</v>
      </c>
      <c r="H12" s="48" t="e">
        <f>VLOOKUP('Walkthrough (Counts)'!D2,'Material &amp; Labor Pricing'!E26:F38,2,FALSE)</f>
        <v>#N/A</v>
      </c>
      <c r="I12" s="7">
        <f>IFERROR(G12*H12,0)</f>
        <v>0</v>
      </c>
      <c r="K12" s="7">
        <v>0</v>
      </c>
      <c r="L12" s="7">
        <v>0</v>
      </c>
      <c r="M12" s="7">
        <v>0</v>
      </c>
      <c r="N12" s="7" t="e">
        <f t="shared" si="0"/>
        <v>#DIV/0!</v>
      </c>
      <c r="O12" s="7" t="e">
        <f t="shared" si="1"/>
        <v>#DIV/0!</v>
      </c>
    </row>
    <row r="13" spans="1:17" ht="14.25" x14ac:dyDescent="0.2">
      <c r="A13" s="8" t="s">
        <v>33</v>
      </c>
      <c r="B13" s="7">
        <f>IFERROR(F13+I13+C13,0)</f>
        <v>0</v>
      </c>
      <c r="C13" s="7">
        <f t="shared" si="8"/>
        <v>0</v>
      </c>
      <c r="D13" s="45">
        <v>1</v>
      </c>
      <c r="E13" s="48" t="e">
        <f>VLOOKUP('Walkthrough (Counts)'!$D$3,'Material &amp; Labor Pricing'!$A$26:$B$38,2,FALSE)</f>
        <v>#N/A</v>
      </c>
      <c r="F13" s="7">
        <f>IFERROR(((D13*E13)),0)</f>
        <v>0</v>
      </c>
      <c r="G13" s="45">
        <f>D13</f>
        <v>1</v>
      </c>
      <c r="H13" s="48" t="e">
        <f>VLOOKUP('Walkthrough (Counts)'!D3,'Material &amp; Labor Pricing'!E27:F39,2,FALSE)</f>
        <v>#N/A</v>
      </c>
      <c r="I13" s="7">
        <f>IFERROR(G13*H13,0)</f>
        <v>0</v>
      </c>
      <c r="K13" s="7">
        <v>0</v>
      </c>
      <c r="L13" s="7">
        <v>0</v>
      </c>
      <c r="M13" s="7">
        <v>0</v>
      </c>
      <c r="N13" s="7" t="e">
        <f t="shared" si="0"/>
        <v>#DIV/0!</v>
      </c>
      <c r="O13" s="7" t="e">
        <f t="shared" si="1"/>
        <v>#DIV/0!</v>
      </c>
    </row>
    <row r="14" spans="1:17" ht="14.25" x14ac:dyDescent="0.2">
      <c r="A14" s="8" t="s">
        <v>22</v>
      </c>
      <c r="B14" s="7">
        <f>IFERROR(F14+I14+C14,0)</f>
        <v>0</v>
      </c>
      <c r="C14" s="7">
        <f t="shared" si="8"/>
        <v>0</v>
      </c>
      <c r="D14" s="45">
        <v>1</v>
      </c>
      <c r="E14" s="48" t="e">
        <f>VLOOKUP('Walkthrough (Counts)'!D4,'Material &amp; Labor Pricing'!$A$26:$B$38,2,FALSE)</f>
        <v>#N/A</v>
      </c>
      <c r="F14" s="7">
        <f>IFERROR(((D14*E14)),0)</f>
        <v>0</v>
      </c>
      <c r="G14" s="45">
        <f>D14</f>
        <v>1</v>
      </c>
      <c r="H14" s="48" t="e">
        <f>VLOOKUP('Walkthrough (Counts)'!D4,'Material &amp; Labor Pricing'!E28:F40,2,FALSE)</f>
        <v>#N/A</v>
      </c>
      <c r="I14" s="7">
        <f>IFERROR(G14*H14,0)</f>
        <v>0</v>
      </c>
      <c r="K14" s="7">
        <v>0</v>
      </c>
      <c r="L14" s="7">
        <v>0</v>
      </c>
      <c r="M14" s="7">
        <v>0</v>
      </c>
      <c r="N14" s="7" t="e">
        <f t="shared" si="0"/>
        <v>#DIV/0!</v>
      </c>
      <c r="O14" s="7" t="e">
        <f t="shared" si="1"/>
        <v>#DIV/0!</v>
      </c>
    </row>
    <row r="15" spans="1:17" ht="14.25" x14ac:dyDescent="0.2">
      <c r="A15" s="27" t="s">
        <v>217</v>
      </c>
      <c r="B15" s="7">
        <f>IFERROR(F15+I15+C15,0)</f>
        <v>0</v>
      </c>
      <c r="C15" s="7">
        <f t="shared" si="8"/>
        <v>0</v>
      </c>
      <c r="D15" s="45">
        <v>1</v>
      </c>
      <c r="E15" s="48" t="e">
        <f>VLOOKUP('Walkthrough (Counts)'!$D$6,'Material &amp; Labor Pricing'!A115:B118,2,FALSE)</f>
        <v>#N/A</v>
      </c>
      <c r="F15" s="7">
        <f>IFERROR(((D15*E15)),0)</f>
        <v>0</v>
      </c>
      <c r="G15" s="45">
        <f>D15</f>
        <v>1</v>
      </c>
      <c r="H15" s="48" t="e">
        <f>VLOOKUP('Walkthrough (Counts)'!$D$6,'Material &amp; Labor Pricing'!E115:F118,2,FALSE)</f>
        <v>#N/A</v>
      </c>
      <c r="I15" s="7">
        <f>IFERROR(G15*H15,0)</f>
        <v>0</v>
      </c>
      <c r="K15" s="7">
        <f>B15*$K$2</f>
        <v>0</v>
      </c>
      <c r="L15" s="7">
        <f>B15*$L$2</f>
        <v>0</v>
      </c>
      <c r="M15" s="7">
        <f>B15*$M$2</f>
        <v>0</v>
      </c>
      <c r="N15" s="7" t="e">
        <f t="shared" si="0"/>
        <v>#DIV/0!</v>
      </c>
      <c r="O15" s="7" t="e">
        <f t="shared" si="1"/>
        <v>#DIV/0!</v>
      </c>
    </row>
    <row r="16" spans="1:17" ht="14.25" x14ac:dyDescent="0.2">
      <c r="A16" s="27" t="s">
        <v>192</v>
      </c>
      <c r="B16" s="7">
        <f t="shared" si="2"/>
        <v>0</v>
      </c>
      <c r="C16" s="7">
        <f t="shared" si="8"/>
        <v>0</v>
      </c>
      <c r="D16" s="50">
        <v>0</v>
      </c>
      <c r="E16" s="51">
        <v>0</v>
      </c>
      <c r="F16" s="7">
        <f t="shared" si="3"/>
        <v>0</v>
      </c>
      <c r="G16" s="50">
        <v>0</v>
      </c>
      <c r="H16" s="51">
        <v>0</v>
      </c>
      <c r="I16" s="7">
        <f t="shared" si="4"/>
        <v>0</v>
      </c>
      <c r="J16" s="25"/>
      <c r="K16" s="7">
        <f t="shared" si="5"/>
        <v>0</v>
      </c>
      <c r="L16" s="7">
        <f t="shared" si="6"/>
        <v>0</v>
      </c>
      <c r="M16" s="7">
        <f t="shared" si="7"/>
        <v>0</v>
      </c>
      <c r="N16" s="7" t="e">
        <f t="shared" si="0"/>
        <v>#DIV/0!</v>
      </c>
      <c r="O16" s="7" t="e">
        <f t="shared" si="1"/>
        <v>#DIV/0!</v>
      </c>
    </row>
    <row r="17" spans="1:15" ht="15" x14ac:dyDescent="0.25">
      <c r="A17" s="120" t="s">
        <v>306</v>
      </c>
      <c r="B17" s="4">
        <f>IFERROR(SUM(B6:B16),0)</f>
        <v>0</v>
      </c>
      <c r="C17" s="4">
        <f>IFERROR(SUM(C6:C16),0)</f>
        <v>0</v>
      </c>
      <c r="D17" s="121"/>
      <c r="E17" s="4">
        <f>IFERROR(SUM(E6:E16),0)</f>
        <v>0</v>
      </c>
      <c r="F17" s="4">
        <f>IFERROR(SUM(F6:F16),0)</f>
        <v>0</v>
      </c>
      <c r="G17" s="121"/>
      <c r="H17" s="4">
        <f>IFERROR(SUM(H6:H16),0)</f>
        <v>0</v>
      </c>
      <c r="I17" s="4">
        <f>IFERROR(SUM(I6:I16),0)</f>
        <v>0</v>
      </c>
      <c r="K17" s="4">
        <f>IFERROR(SUM(K6:K16),0)</f>
        <v>0</v>
      </c>
      <c r="L17" s="4">
        <f>IFERROR(SUM(L6:L16),0)</f>
        <v>0</v>
      </c>
      <c r="M17" s="4">
        <f>IFERROR(SUM(M6:M16),0)</f>
        <v>0</v>
      </c>
      <c r="N17" s="4">
        <f>IFERROR(SUM(N6:N16),0)</f>
        <v>0</v>
      </c>
      <c r="O17" s="4">
        <f>IFERROR(SUM(O6:O16),0)</f>
        <v>0</v>
      </c>
    </row>
    <row r="18" spans="1:15" x14ac:dyDescent="0.2">
      <c r="B18" s="24"/>
      <c r="C18" s="24"/>
      <c r="E18" s="24"/>
      <c r="F18" s="24"/>
      <c r="H18" s="24"/>
      <c r="I18" s="24"/>
      <c r="K18" s="24"/>
      <c r="L18" s="24"/>
      <c r="M18" s="24"/>
      <c r="N18" s="24"/>
      <c r="O18" s="24"/>
    </row>
    <row r="19" spans="1:15" ht="15" x14ac:dyDescent="0.25">
      <c r="A19" s="28" t="s">
        <v>20</v>
      </c>
      <c r="B19" s="76"/>
      <c r="C19" s="76"/>
      <c r="D19" s="49"/>
      <c r="E19" s="47"/>
      <c r="F19" s="4"/>
      <c r="G19" s="49"/>
      <c r="H19" s="47"/>
      <c r="I19" s="4"/>
      <c r="K19" s="4"/>
      <c r="L19" s="4"/>
      <c r="M19" s="4"/>
      <c r="N19" s="4"/>
      <c r="O19" s="4"/>
    </row>
    <row r="20" spans="1:15" ht="14.25" x14ac:dyDescent="0.2">
      <c r="A20" s="8" t="s">
        <v>324</v>
      </c>
      <c r="B20" s="7">
        <f t="shared" ref="B20:B26" si="10">IFERROR(F20+I20+C20,0)</f>
        <v>0</v>
      </c>
      <c r="C20" s="7">
        <f t="shared" ref="C20:C26" si="11">IFERROR((F20*$C$5),0)</f>
        <v>0</v>
      </c>
      <c r="D20" s="45">
        <f>G20*110%</f>
        <v>0</v>
      </c>
      <c r="E20" s="48" t="e">
        <f>VLOOKUP('Walkthrough (Counts)'!$H$11,'Material &amp; Labor Pricing'!$A$108:$B$112,2,FALSE)</f>
        <v>#N/A</v>
      </c>
      <c r="F20" s="7">
        <f t="shared" ref="F20:F26" si="12">IFERROR(((D20*E20)),0)</f>
        <v>0</v>
      </c>
      <c r="G20" s="45">
        <f>'Walkthrough (Counts)'!F11</f>
        <v>0</v>
      </c>
      <c r="H20" s="48" t="e">
        <f>VLOOKUP('Walkthrough (Counts)'!$H$11,'Material &amp; Labor Pricing'!$E$108:$F$112,2,FALSE)</f>
        <v>#N/A</v>
      </c>
      <c r="I20" s="7">
        <f t="shared" ref="I20:I26" si="13">IFERROR(G20*H20,0)</f>
        <v>0</v>
      </c>
      <c r="K20" s="7">
        <f t="shared" ref="K20:K26" si="14">B20*$K$2</f>
        <v>0</v>
      </c>
      <c r="L20" s="7">
        <f t="shared" ref="L20:L26" si="15">B20*$L$2</f>
        <v>0</v>
      </c>
      <c r="M20" s="7">
        <f t="shared" ref="M20:M26" si="16">B20*$M$2</f>
        <v>0</v>
      </c>
      <c r="N20" s="7" t="e">
        <f t="shared" ref="N20:N26" si="17">((B20/$B$91)*($B$97))</f>
        <v>#DIV/0!</v>
      </c>
      <c r="O20" s="7" t="e">
        <f t="shared" ref="O20:O26" si="18">N20+M20+L20+K20+B20</f>
        <v>#DIV/0!</v>
      </c>
    </row>
    <row r="21" spans="1:15" ht="14.25" x14ac:dyDescent="0.2">
      <c r="A21" s="8" t="s">
        <v>31</v>
      </c>
      <c r="B21" s="7">
        <f t="shared" si="10"/>
        <v>0</v>
      </c>
      <c r="C21" s="7">
        <f t="shared" si="11"/>
        <v>0</v>
      </c>
      <c r="D21" s="45">
        <v>1</v>
      </c>
      <c r="E21" s="48" t="e">
        <f>VLOOKUP('Walkthrough (Counts)'!$D$13,'Material &amp; Labor Pricing'!$A$108:$B$112,2,FALSE)</f>
        <v>#N/A</v>
      </c>
      <c r="F21" s="7">
        <f t="shared" si="12"/>
        <v>0</v>
      </c>
      <c r="G21" s="45">
        <f>D21</f>
        <v>1</v>
      </c>
      <c r="H21" s="48" t="e">
        <f>VLOOKUP('Walkthrough (Counts)'!$D$13,'Material &amp; Labor Pricing'!$E$108:$F$112,2,FALSE)</f>
        <v>#N/A</v>
      </c>
      <c r="I21" s="7">
        <f t="shared" si="13"/>
        <v>0</v>
      </c>
      <c r="K21" s="7">
        <f t="shared" si="14"/>
        <v>0</v>
      </c>
      <c r="L21" s="7">
        <f t="shared" si="15"/>
        <v>0</v>
      </c>
      <c r="M21" s="7">
        <f t="shared" si="16"/>
        <v>0</v>
      </c>
      <c r="N21" s="7" t="e">
        <f t="shared" si="17"/>
        <v>#DIV/0!</v>
      </c>
      <c r="O21" s="7" t="e">
        <f t="shared" si="18"/>
        <v>#DIV/0!</v>
      </c>
    </row>
    <row r="22" spans="1:15" ht="14.25" x14ac:dyDescent="0.2">
      <c r="A22" s="8" t="s">
        <v>310</v>
      </c>
      <c r="B22" s="7">
        <f t="shared" si="10"/>
        <v>0</v>
      </c>
      <c r="C22" s="7">
        <f t="shared" si="11"/>
        <v>0</v>
      </c>
      <c r="D22" s="45">
        <f>'Walkthrough (Counts)'!F14</f>
        <v>0</v>
      </c>
      <c r="E22" s="48" t="e">
        <f>VLOOKUP('Walkthrough (Counts)'!H14,'Material &amp; Labor Pricing'!$A$121:$B$124,2,FALSE)</f>
        <v>#N/A</v>
      </c>
      <c r="F22" s="7">
        <f t="shared" si="12"/>
        <v>0</v>
      </c>
      <c r="G22" s="45">
        <f t="shared" ref="G22" si="19">D22</f>
        <v>0</v>
      </c>
      <c r="H22" s="48" t="e">
        <f>VLOOKUP('Walkthrough (Counts)'!$H$14,'Material &amp; Labor Pricing'!$E$121:$F$124,2,FALSE)</f>
        <v>#N/A</v>
      </c>
      <c r="I22" s="7">
        <f t="shared" si="13"/>
        <v>0</v>
      </c>
      <c r="K22" s="7">
        <f t="shared" si="14"/>
        <v>0</v>
      </c>
      <c r="L22" s="7">
        <f t="shared" si="15"/>
        <v>0</v>
      </c>
      <c r="M22" s="7">
        <f t="shared" si="16"/>
        <v>0</v>
      </c>
      <c r="N22" s="7" t="e">
        <f t="shared" si="17"/>
        <v>#DIV/0!</v>
      </c>
      <c r="O22" s="7" t="e">
        <f t="shared" si="18"/>
        <v>#DIV/0!</v>
      </c>
    </row>
    <row r="23" spans="1:15" ht="14.25" x14ac:dyDescent="0.2">
      <c r="A23" s="8" t="s">
        <v>220</v>
      </c>
      <c r="B23" s="7">
        <f t="shared" si="10"/>
        <v>0</v>
      </c>
      <c r="C23" s="7">
        <f t="shared" si="11"/>
        <v>0</v>
      </c>
      <c r="D23" s="45">
        <v>1</v>
      </c>
      <c r="E23" s="48" t="e">
        <f>VLOOKUP('Walkthrough (Counts)'!$D$10,'Material &amp; Labor Pricing'!A74:B82,2,FALSE)</f>
        <v>#N/A</v>
      </c>
      <c r="F23" s="7">
        <f t="shared" si="12"/>
        <v>0</v>
      </c>
      <c r="G23" s="45">
        <f>D23</f>
        <v>1</v>
      </c>
      <c r="H23" s="48" t="e">
        <f>VLOOKUP('Walkthrough (Counts)'!$D$10,'Material &amp; Labor Pricing'!E74:F82,2,FALSE)</f>
        <v>#N/A</v>
      </c>
      <c r="I23" s="7">
        <f t="shared" si="13"/>
        <v>0</v>
      </c>
      <c r="K23" s="7">
        <f t="shared" si="14"/>
        <v>0</v>
      </c>
      <c r="L23" s="7">
        <f t="shared" si="15"/>
        <v>0</v>
      </c>
      <c r="M23" s="7">
        <f t="shared" si="16"/>
        <v>0</v>
      </c>
      <c r="N23" s="7" t="e">
        <f t="shared" si="17"/>
        <v>#DIV/0!</v>
      </c>
      <c r="O23" s="7" t="e">
        <f t="shared" si="18"/>
        <v>#DIV/0!</v>
      </c>
    </row>
    <row r="24" spans="1:15" ht="14.25" x14ac:dyDescent="0.2">
      <c r="A24" s="8" t="s">
        <v>219</v>
      </c>
      <c r="B24" s="7">
        <f t="shared" si="10"/>
        <v>0</v>
      </c>
      <c r="C24" s="7">
        <f t="shared" si="11"/>
        <v>0</v>
      </c>
      <c r="D24" s="45">
        <f>IF(G24&gt;1,'Walkthrough (Counts)'!F10*115%,1)</f>
        <v>1</v>
      </c>
      <c r="E24" s="48" t="e">
        <f>VLOOKUP('Walkthrough (Counts)'!$H$10,'Material &amp; Labor Pricing'!A74:B82,2,FALSE)</f>
        <v>#N/A</v>
      </c>
      <c r="F24" s="7">
        <f t="shared" si="12"/>
        <v>0</v>
      </c>
      <c r="G24" s="45">
        <f>'Walkthrough (Counts)'!F10</f>
        <v>0</v>
      </c>
      <c r="H24" s="48" t="e">
        <f>VLOOKUP('Walkthrough (Counts)'!$H$10,'Material &amp; Labor Pricing'!E74:F82,2,FALSE)</f>
        <v>#N/A</v>
      </c>
      <c r="I24" s="7">
        <f t="shared" si="13"/>
        <v>0</v>
      </c>
      <c r="K24" s="7">
        <f t="shared" si="14"/>
        <v>0</v>
      </c>
      <c r="L24" s="7">
        <f t="shared" si="15"/>
        <v>0</v>
      </c>
      <c r="M24" s="7">
        <f t="shared" si="16"/>
        <v>0</v>
      </c>
      <c r="N24" s="7" t="e">
        <f t="shared" si="17"/>
        <v>#DIV/0!</v>
      </c>
      <c r="O24" s="7" t="e">
        <f t="shared" si="18"/>
        <v>#DIV/0!</v>
      </c>
    </row>
    <row r="25" spans="1:15" ht="14.25" x14ac:dyDescent="0.2">
      <c r="A25" s="8" t="s">
        <v>28</v>
      </c>
      <c r="B25" s="7">
        <f t="shared" si="10"/>
        <v>0</v>
      </c>
      <c r="C25" s="7">
        <f t="shared" si="11"/>
        <v>0</v>
      </c>
      <c r="D25" s="45">
        <v>1</v>
      </c>
      <c r="E25" s="48" t="e">
        <f>VLOOKUP('Walkthrough (Counts)'!$D$11,'Material &amp; Labor Pricing'!A91:B93,2,FALSE)</f>
        <v>#N/A</v>
      </c>
      <c r="F25" s="7">
        <f t="shared" si="12"/>
        <v>0</v>
      </c>
      <c r="G25" s="45">
        <f>D25</f>
        <v>1</v>
      </c>
      <c r="H25" s="48" t="e">
        <f>VLOOKUP('Walkthrough (Counts)'!$D$11,'Material &amp; Labor Pricing'!E91:F93,2,FALSE)</f>
        <v>#N/A</v>
      </c>
      <c r="I25" s="7">
        <f t="shared" si="13"/>
        <v>0</v>
      </c>
      <c r="K25" s="7">
        <f t="shared" si="14"/>
        <v>0</v>
      </c>
      <c r="L25" s="7">
        <f t="shared" si="15"/>
        <v>0</v>
      </c>
      <c r="M25" s="7">
        <f t="shared" si="16"/>
        <v>0</v>
      </c>
      <c r="N25" s="7" t="e">
        <f t="shared" si="17"/>
        <v>#DIV/0!</v>
      </c>
      <c r="O25" s="7" t="e">
        <f t="shared" si="18"/>
        <v>#DIV/0!</v>
      </c>
    </row>
    <row r="26" spans="1:15" ht="14.25" x14ac:dyDescent="0.2">
      <c r="A26" s="27" t="s">
        <v>192</v>
      </c>
      <c r="B26" s="7">
        <f t="shared" si="10"/>
        <v>0</v>
      </c>
      <c r="C26" s="7">
        <f t="shared" si="11"/>
        <v>0</v>
      </c>
      <c r="D26" s="50">
        <v>0</v>
      </c>
      <c r="E26" s="51">
        <v>0</v>
      </c>
      <c r="F26" s="7">
        <f t="shared" si="12"/>
        <v>0</v>
      </c>
      <c r="G26" s="50">
        <v>0</v>
      </c>
      <c r="H26" s="51">
        <v>0</v>
      </c>
      <c r="I26" s="7">
        <f t="shared" si="13"/>
        <v>0</v>
      </c>
      <c r="K26" s="7">
        <f t="shared" si="14"/>
        <v>0</v>
      </c>
      <c r="L26" s="7">
        <f t="shared" si="15"/>
        <v>0</v>
      </c>
      <c r="M26" s="7">
        <f t="shared" si="16"/>
        <v>0</v>
      </c>
      <c r="N26" s="7" t="e">
        <f t="shared" si="17"/>
        <v>#DIV/0!</v>
      </c>
      <c r="O26" s="7" t="e">
        <f t="shared" si="18"/>
        <v>#DIV/0!</v>
      </c>
    </row>
    <row r="27" spans="1:15" ht="15" x14ac:dyDescent="0.25">
      <c r="A27" s="120" t="s">
        <v>307</v>
      </c>
      <c r="B27" s="4">
        <f>IFERROR(SUM(B20:B26),0)</f>
        <v>0</v>
      </c>
      <c r="C27" s="4">
        <f>IFERROR(SUM(C20:C26),0)</f>
        <v>0</v>
      </c>
      <c r="D27" s="121"/>
      <c r="E27" s="4">
        <f>IFERROR(SUM(E20:E26),0)</f>
        <v>0</v>
      </c>
      <c r="F27" s="4">
        <f>IFERROR(SUM(F20:F26),0)</f>
        <v>0</v>
      </c>
      <c r="G27" s="121"/>
      <c r="H27" s="4">
        <f>IFERROR(SUM(H20:H26),0)</f>
        <v>0</v>
      </c>
      <c r="I27" s="4">
        <f>IFERROR(SUM(I20:I26),0)</f>
        <v>0</v>
      </c>
      <c r="K27" s="4">
        <f>IFERROR(SUM(K20:K26),0)</f>
        <v>0</v>
      </c>
      <c r="L27" s="4">
        <f>IFERROR(SUM(L20:L26),0)</f>
        <v>0</v>
      </c>
      <c r="M27" s="4">
        <f>IFERROR(SUM(M20:M26),0)</f>
        <v>0</v>
      </c>
      <c r="N27" s="4">
        <f>IFERROR(SUM(N20:N26),0)</f>
        <v>0</v>
      </c>
      <c r="O27" s="4">
        <f>IFERROR(SUM(O20:O26),0)</f>
        <v>0</v>
      </c>
    </row>
    <row r="28" spans="1:15" x14ac:dyDescent="0.2">
      <c r="B28" s="24"/>
      <c r="C28" s="24"/>
      <c r="E28" s="77"/>
      <c r="F28" s="24"/>
      <c r="H28" s="77"/>
      <c r="I28" s="24"/>
      <c r="K28" s="24"/>
      <c r="L28" s="24"/>
      <c r="M28" s="24"/>
      <c r="N28" s="24"/>
      <c r="O28" s="24"/>
    </row>
    <row r="29" spans="1:15" ht="15" x14ac:dyDescent="0.25">
      <c r="A29" s="135" t="s">
        <v>231</v>
      </c>
      <c r="B29" s="7"/>
      <c r="C29" s="7"/>
      <c r="D29" s="45"/>
      <c r="E29" s="48"/>
      <c r="F29" s="88"/>
      <c r="G29" s="45"/>
      <c r="H29" s="48"/>
      <c r="I29" s="88"/>
      <c r="K29" s="7"/>
      <c r="L29" s="7"/>
      <c r="M29" s="7"/>
      <c r="N29" s="7"/>
      <c r="O29" s="7"/>
    </row>
    <row r="30" spans="1:15" ht="14.25" x14ac:dyDescent="0.2">
      <c r="A30" s="8" t="s">
        <v>27</v>
      </c>
      <c r="B30" s="7">
        <f t="shared" ref="B30:B35" si="20">IFERROR(F30+I30+C30,0)</f>
        <v>0</v>
      </c>
      <c r="C30" s="7">
        <f t="shared" ref="C30:C35" si="21">IFERROR((F30*$C$5),0)</f>
        <v>0</v>
      </c>
      <c r="D30" s="50">
        <v>0</v>
      </c>
      <c r="E30" s="51">
        <v>0</v>
      </c>
      <c r="F30" s="7">
        <f>IFERROR(((D30*E30)),0)</f>
        <v>0</v>
      </c>
      <c r="G30" s="50">
        <v>0</v>
      </c>
      <c r="H30" s="51">
        <v>0</v>
      </c>
      <c r="I30" s="7">
        <f>IFERROR(G30*H30,0)</f>
        <v>0</v>
      </c>
      <c r="K30" s="7">
        <f>B30*$K$2</f>
        <v>0</v>
      </c>
      <c r="L30" s="7">
        <f>B30*$L$2</f>
        <v>0</v>
      </c>
      <c r="M30" s="7">
        <f>B30*$M$2</f>
        <v>0</v>
      </c>
      <c r="N30" s="7" t="e">
        <f t="shared" ref="N30:N35" si="22">((B30/$B$91)*($B$97))</f>
        <v>#DIV/0!</v>
      </c>
      <c r="O30" s="7" t="e">
        <f t="shared" ref="O30:O35" si="23">N30+M30+L30+K30+B30</f>
        <v>#DIV/0!</v>
      </c>
    </row>
    <row r="31" spans="1:15" ht="14.25" x14ac:dyDescent="0.2">
      <c r="A31" s="8" t="s">
        <v>321</v>
      </c>
      <c r="B31" s="7">
        <f t="shared" si="20"/>
        <v>0</v>
      </c>
      <c r="C31" s="7">
        <f t="shared" si="21"/>
        <v>0</v>
      </c>
      <c r="D31" s="45">
        <f>'Walkthrough (Counts)'!F13</f>
        <v>0</v>
      </c>
      <c r="E31" s="48" t="e">
        <f>VLOOKUP('Walkthrough (Counts)'!H13,'Material &amp; Labor Pricing'!$A$121:$B$124,2,FALSE)</f>
        <v>#N/A</v>
      </c>
      <c r="F31" s="7">
        <f>IFERROR(((D31*E31)),0)</f>
        <v>0</v>
      </c>
      <c r="G31" s="45">
        <f t="shared" ref="G31" si="24">D31</f>
        <v>0</v>
      </c>
      <c r="H31" s="48" t="e">
        <f>VLOOKUP('Walkthrough (Counts)'!H13,'Material &amp; Labor Pricing'!$E$121:$F$124,2,FALSE)</f>
        <v>#N/A</v>
      </c>
      <c r="I31" s="7">
        <f>IFERROR(G31*H31,0)</f>
        <v>0</v>
      </c>
      <c r="K31" s="7">
        <f>B31*$K$2</f>
        <v>0</v>
      </c>
      <c r="L31" s="7">
        <f>B31*$L$2</f>
        <v>0</v>
      </c>
      <c r="M31" s="7">
        <f>B31*$M$2</f>
        <v>0</v>
      </c>
      <c r="N31" s="7" t="e">
        <f t="shared" si="22"/>
        <v>#DIV/0!</v>
      </c>
      <c r="O31" s="7" t="e">
        <f t="shared" si="23"/>
        <v>#DIV/0!</v>
      </c>
    </row>
    <row r="32" spans="1:15" ht="14.25" x14ac:dyDescent="0.2">
      <c r="A32" s="8" t="s">
        <v>318</v>
      </c>
      <c r="B32" s="7">
        <f t="shared" si="20"/>
        <v>0</v>
      </c>
      <c r="C32" s="7">
        <f t="shared" si="21"/>
        <v>0</v>
      </c>
      <c r="D32" s="45">
        <f>'Walkthrough (Counts)'!F6</f>
        <v>0</v>
      </c>
      <c r="E32" s="48" t="e">
        <f>VLOOKUP('Walkthrough (Counts)'!$H$6,'Material &amp; Labor Pricing'!$A$121:$B$124,2,FALSE)</f>
        <v>#N/A</v>
      </c>
      <c r="F32" s="7">
        <f>IFERROR(((D32*E32)),0)</f>
        <v>0</v>
      </c>
      <c r="G32" s="45">
        <f t="shared" ref="G32" si="25">D32</f>
        <v>0</v>
      </c>
      <c r="H32" s="48" t="e">
        <f>VLOOKUP('Walkthrough (Counts)'!$H$6,'Material &amp; Labor Pricing'!$E$121:$F$124,2,FALSE)</f>
        <v>#N/A</v>
      </c>
      <c r="I32" s="7">
        <f t="shared" ref="I32" si="26">IFERROR(G32*H32,0)</f>
        <v>0</v>
      </c>
      <c r="K32" s="7">
        <f>B32*$K$2</f>
        <v>0</v>
      </c>
      <c r="L32" s="7">
        <f>B32*$L$2</f>
        <v>0</v>
      </c>
      <c r="M32" s="7">
        <f>B32*$M$2</f>
        <v>0</v>
      </c>
      <c r="N32" s="7" t="e">
        <f t="shared" si="22"/>
        <v>#DIV/0!</v>
      </c>
      <c r="O32" s="7" t="e">
        <f t="shared" si="23"/>
        <v>#DIV/0!</v>
      </c>
    </row>
    <row r="33" spans="1:15" ht="14.25" x14ac:dyDescent="0.2">
      <c r="A33" s="87" t="s">
        <v>317</v>
      </c>
      <c r="B33" s="7">
        <f t="shared" si="20"/>
        <v>0</v>
      </c>
      <c r="C33" s="7">
        <f t="shared" si="21"/>
        <v>0</v>
      </c>
      <c r="D33" s="45">
        <f>'Walkthrough (Counts)'!F7</f>
        <v>0</v>
      </c>
      <c r="E33" s="48" t="e">
        <f>VLOOKUP('Walkthrough (Counts)'!$H$7,'Material &amp; Labor Pricing'!$A$121:$B$124,2,FALSE)</f>
        <v>#N/A</v>
      </c>
      <c r="F33" s="7">
        <f>IFERROR(((D33*E33)),0)</f>
        <v>0</v>
      </c>
      <c r="G33" s="45">
        <f t="shared" ref="G33" si="27">D33</f>
        <v>0</v>
      </c>
      <c r="H33" s="48" t="e">
        <f>VLOOKUP('Walkthrough (Counts)'!$H$7,'Material &amp; Labor Pricing'!$E$121:$F$124,2,FALSE)</f>
        <v>#N/A</v>
      </c>
      <c r="I33" s="7">
        <f>IFERROR(G33*H33,0)</f>
        <v>0</v>
      </c>
      <c r="K33" s="7">
        <f>B33*$K$2</f>
        <v>0</v>
      </c>
      <c r="L33" s="7">
        <f>B33*$L$2</f>
        <v>0</v>
      </c>
      <c r="M33" s="7">
        <f>B33*$M$2</f>
        <v>0</v>
      </c>
      <c r="N33" s="7" t="e">
        <f t="shared" si="22"/>
        <v>#DIV/0!</v>
      </c>
      <c r="O33" s="7" t="e">
        <f t="shared" si="23"/>
        <v>#DIV/0!</v>
      </c>
    </row>
    <row r="34" spans="1:15" ht="14.25" x14ac:dyDescent="0.2">
      <c r="A34" s="87" t="s">
        <v>168</v>
      </c>
      <c r="B34" s="7">
        <f t="shared" si="20"/>
        <v>0</v>
      </c>
      <c r="C34" s="7">
        <f t="shared" si="21"/>
        <v>0</v>
      </c>
      <c r="D34" s="45">
        <f t="shared" ref="D34" si="28">G34</f>
        <v>0</v>
      </c>
      <c r="E34" s="48" t="e">
        <f>VLOOKUP('Walkthrough (Counts)'!H22,'Material &amp; Labor Pricing'!A68:B71,2,FALSE)</f>
        <v>#N/A</v>
      </c>
      <c r="F34" s="7">
        <f>IFERROR(((D34*E34)),0)</f>
        <v>0</v>
      </c>
      <c r="G34" s="45">
        <f>'Walkthrough (Counts)'!F22</f>
        <v>0</v>
      </c>
      <c r="H34" s="48" t="e">
        <f>VLOOKUP('Walkthrough (Counts)'!H22,'Material &amp; Labor Pricing'!E68:F71,2,FALSE)</f>
        <v>#N/A</v>
      </c>
      <c r="I34" s="88">
        <f>IFERROR(G34*H34,0)</f>
        <v>0</v>
      </c>
      <c r="K34" s="7">
        <f>B34*$K$2</f>
        <v>0</v>
      </c>
      <c r="L34" s="7">
        <f>B34*$L$2</f>
        <v>0</v>
      </c>
      <c r="M34" s="7">
        <f>B34*$M$2</f>
        <v>0</v>
      </c>
      <c r="N34" s="7" t="e">
        <f t="shared" si="22"/>
        <v>#DIV/0!</v>
      </c>
      <c r="O34" s="7" t="e">
        <f t="shared" si="23"/>
        <v>#DIV/0!</v>
      </c>
    </row>
    <row r="35" spans="1:15" ht="14.25" x14ac:dyDescent="0.2">
      <c r="A35" s="87" t="s">
        <v>192</v>
      </c>
      <c r="B35" s="7">
        <f t="shared" si="20"/>
        <v>0</v>
      </c>
      <c r="C35" s="7">
        <f t="shared" si="21"/>
        <v>0</v>
      </c>
      <c r="D35" s="50">
        <v>0</v>
      </c>
      <c r="E35" s="51">
        <v>0</v>
      </c>
      <c r="F35" s="7">
        <f t="shared" ref="F35" si="29">IFERROR(((D35*E35)),0)</f>
        <v>0</v>
      </c>
      <c r="G35" s="50">
        <v>0</v>
      </c>
      <c r="H35" s="51">
        <v>0</v>
      </c>
      <c r="I35" s="7">
        <f t="shared" ref="I35" si="30">IFERROR(G35*H35,0)</f>
        <v>0</v>
      </c>
      <c r="K35" s="7">
        <f t="shared" ref="K35" si="31">B35*$K$2</f>
        <v>0</v>
      </c>
      <c r="L35" s="7">
        <f t="shared" ref="L35" si="32">B35*$L$2</f>
        <v>0</v>
      </c>
      <c r="M35" s="7">
        <f t="shared" ref="M35" si="33">B35*$M$2</f>
        <v>0</v>
      </c>
      <c r="N35" s="7" t="e">
        <f t="shared" si="22"/>
        <v>#DIV/0!</v>
      </c>
      <c r="O35" s="7" t="e">
        <f t="shared" si="23"/>
        <v>#DIV/0!</v>
      </c>
    </row>
    <row r="36" spans="1:15" ht="15" x14ac:dyDescent="0.25">
      <c r="A36" s="120" t="s">
        <v>337</v>
      </c>
      <c r="B36" s="4">
        <f>SUM(B30:B35)</f>
        <v>0</v>
      </c>
      <c r="C36" s="4">
        <f>SUM(C30:C35)</f>
        <v>0</v>
      </c>
      <c r="D36" s="121"/>
      <c r="E36" s="4">
        <f>IFERROR(SUM(E29:E35),0)</f>
        <v>0</v>
      </c>
      <c r="F36" s="4">
        <f t="shared" ref="F36" si="34">SUM(F30:F35)</f>
        <v>0</v>
      </c>
      <c r="G36" s="121"/>
      <c r="H36" s="4">
        <f>IFERROR(SUM(H29:H35),0)</f>
        <v>0</v>
      </c>
      <c r="I36" s="4">
        <f t="shared" ref="I36" si="35">SUM(I30:I35)</f>
        <v>0</v>
      </c>
      <c r="K36" s="4">
        <f t="shared" ref="K36:O36" si="36">SUM(K30:K35)</f>
        <v>0</v>
      </c>
      <c r="L36" s="4">
        <f t="shared" si="36"/>
        <v>0</v>
      </c>
      <c r="M36" s="4">
        <f t="shared" si="36"/>
        <v>0</v>
      </c>
      <c r="N36" s="4" t="e">
        <f t="shared" si="36"/>
        <v>#DIV/0!</v>
      </c>
      <c r="O36" s="4" t="e">
        <f t="shared" si="36"/>
        <v>#DIV/0!</v>
      </c>
    </row>
    <row r="37" spans="1:15" x14ac:dyDescent="0.2">
      <c r="B37" s="24"/>
      <c r="C37" s="24"/>
      <c r="E37" s="77"/>
      <c r="F37" s="24"/>
      <c r="H37" s="77"/>
      <c r="I37" s="24"/>
      <c r="K37" s="24"/>
      <c r="L37" s="24"/>
      <c r="M37" s="24"/>
      <c r="N37" s="24"/>
      <c r="O37" s="24"/>
    </row>
    <row r="38" spans="1:15" ht="15" x14ac:dyDescent="0.25">
      <c r="A38" s="120" t="s">
        <v>335</v>
      </c>
      <c r="B38" s="76"/>
      <c r="C38" s="76"/>
      <c r="D38" s="49"/>
      <c r="E38" s="47"/>
      <c r="F38" s="4"/>
      <c r="G38" s="49"/>
      <c r="H38" s="47"/>
      <c r="I38" s="4"/>
      <c r="K38" s="4"/>
      <c r="L38" s="4"/>
      <c r="M38" s="4"/>
      <c r="N38" s="4"/>
      <c r="O38" s="4"/>
    </row>
    <row r="39" spans="1:15" ht="14.25" x14ac:dyDescent="0.2">
      <c r="A39" s="8" t="s">
        <v>35</v>
      </c>
      <c r="B39" s="7">
        <f t="shared" ref="B39:B40" si="37">IFERROR(F39+I39+C39,0)</f>
        <v>0</v>
      </c>
      <c r="C39" s="7">
        <f>IFERROR((F39*$C$5),0)</f>
        <v>0</v>
      </c>
      <c r="D39" s="45">
        <f>G39</f>
        <v>1</v>
      </c>
      <c r="E39" s="48" t="e">
        <f>VLOOKUP('Walkthrough (Counts)'!$H$19,'Material &amp; Labor Pricing'!$A$45:$B$65,2,FALSE)</f>
        <v>#N/A</v>
      </c>
      <c r="F39" s="7">
        <f t="shared" ref="F39:F40" si="38">IFERROR(((D39*E39)),0)</f>
        <v>0</v>
      </c>
      <c r="G39" s="50">
        <v>1</v>
      </c>
      <c r="H39" s="48" t="e">
        <f>VLOOKUP('Walkthrough (Counts)'!$H$19,'Material &amp; Labor Pricing'!$E$45:$F$65,2,FALSE)</f>
        <v>#N/A</v>
      </c>
      <c r="I39" s="7">
        <f>IFERROR(G39*H39,0)</f>
        <v>0</v>
      </c>
      <c r="K39" s="7">
        <f t="shared" ref="K39:K40" si="39">B39*$K$2</f>
        <v>0</v>
      </c>
      <c r="L39" s="7">
        <f t="shared" ref="L39:L40" si="40">B39*$L$2</f>
        <v>0</v>
      </c>
      <c r="M39" s="7">
        <f t="shared" ref="M39:M40" si="41">B39*$M$2</f>
        <v>0</v>
      </c>
      <c r="N39" s="7" t="e">
        <f t="shared" ref="N39:N40" si="42">((B39/$B$91)*($B$97))</f>
        <v>#DIV/0!</v>
      </c>
      <c r="O39" s="7" t="e">
        <f t="shared" ref="O39:O40" si="43">N39+M39+L39+K39+B39</f>
        <v>#DIV/0!</v>
      </c>
    </row>
    <row r="40" spans="1:15" ht="14.25" x14ac:dyDescent="0.2">
      <c r="A40" s="27" t="s">
        <v>192</v>
      </c>
      <c r="B40" s="7">
        <f t="shared" si="37"/>
        <v>0</v>
      </c>
      <c r="C40" s="7">
        <f>IFERROR((F40*$C$5),0)</f>
        <v>0</v>
      </c>
      <c r="D40" s="50">
        <v>0</v>
      </c>
      <c r="E40" s="51">
        <v>0</v>
      </c>
      <c r="F40" s="7">
        <f t="shared" si="38"/>
        <v>0</v>
      </c>
      <c r="G40" s="50">
        <v>0</v>
      </c>
      <c r="H40" s="51">
        <v>0</v>
      </c>
      <c r="I40" s="7">
        <f>IFERROR(G40*H40,0)</f>
        <v>0</v>
      </c>
      <c r="K40" s="7">
        <f t="shared" si="39"/>
        <v>0</v>
      </c>
      <c r="L40" s="7">
        <f t="shared" si="40"/>
        <v>0</v>
      </c>
      <c r="M40" s="7">
        <f t="shared" si="41"/>
        <v>0</v>
      </c>
      <c r="N40" s="7" t="e">
        <f t="shared" si="42"/>
        <v>#DIV/0!</v>
      </c>
      <c r="O40" s="7" t="e">
        <f t="shared" si="43"/>
        <v>#DIV/0!</v>
      </c>
    </row>
    <row r="41" spans="1:15" ht="15" x14ac:dyDescent="0.25">
      <c r="A41" s="120" t="s">
        <v>339</v>
      </c>
      <c r="B41" s="4">
        <f>IFERROR(SUM(B39:B40),0)</f>
        <v>0</v>
      </c>
      <c r="C41" s="4">
        <f>IFERROR(SUM(C39:C40),0)</f>
        <v>0</v>
      </c>
      <c r="D41" s="121"/>
      <c r="E41" s="4">
        <f>IFERROR(SUM(E39:E40),0)</f>
        <v>0</v>
      </c>
      <c r="F41" s="4">
        <f>IFERROR(SUM(F39:F40),0)</f>
        <v>0</v>
      </c>
      <c r="G41" s="121"/>
      <c r="H41" s="4">
        <f>IFERROR(SUM(H39:H40),0)</f>
        <v>0</v>
      </c>
      <c r="I41" s="4">
        <f>IFERROR(SUM(I39:I40),0)</f>
        <v>0</v>
      </c>
      <c r="K41" s="4">
        <f t="shared" ref="K41:O41" si="44">IFERROR(SUM(K39:K40),0)</f>
        <v>0</v>
      </c>
      <c r="L41" s="4">
        <f t="shared" si="44"/>
        <v>0</v>
      </c>
      <c r="M41" s="4">
        <f t="shared" si="44"/>
        <v>0</v>
      </c>
      <c r="N41" s="4">
        <f t="shared" si="44"/>
        <v>0</v>
      </c>
      <c r="O41" s="4">
        <f t="shared" si="44"/>
        <v>0</v>
      </c>
    </row>
    <row r="42" spans="1:15" x14ac:dyDescent="0.2">
      <c r="B42" s="24"/>
      <c r="C42" s="24"/>
      <c r="E42" s="77"/>
      <c r="F42" s="24"/>
      <c r="H42" s="77"/>
      <c r="I42" s="24"/>
      <c r="K42" s="24"/>
      <c r="L42" s="24"/>
      <c r="M42" s="24"/>
      <c r="N42" s="24"/>
      <c r="O42" s="24"/>
    </row>
    <row r="43" spans="1:15" ht="15" x14ac:dyDescent="0.25">
      <c r="A43" s="28" t="s">
        <v>198</v>
      </c>
      <c r="B43" s="76"/>
      <c r="C43" s="76"/>
      <c r="D43" s="49"/>
      <c r="E43" s="47"/>
      <c r="F43" s="4"/>
      <c r="G43" s="49"/>
      <c r="H43" s="47"/>
      <c r="I43" s="4"/>
      <c r="K43" s="4"/>
      <c r="L43" s="4"/>
      <c r="M43" s="4"/>
      <c r="N43" s="7"/>
      <c r="O43" s="7"/>
    </row>
    <row r="44" spans="1:15" ht="14.25" x14ac:dyDescent="0.2">
      <c r="A44" s="8" t="s">
        <v>280</v>
      </c>
      <c r="B44" s="7">
        <f t="shared" ref="B44:B49" si="45">IFERROR(F44+I44+C44,0)</f>
        <v>0</v>
      </c>
      <c r="C44" s="7">
        <f t="shared" ref="C44:C50" si="46">IFERROR((F44*$C$5),0)</f>
        <v>0</v>
      </c>
      <c r="D44" s="45">
        <f>'Walkthrough (Counts)'!F23</f>
        <v>0</v>
      </c>
      <c r="E44" s="48" t="e">
        <f>VLOOKUP('Walkthrough (Counts)'!$H$23,'Material &amp; Labor Pricing'!$A$127:$B$129,2,FALSE)</f>
        <v>#N/A</v>
      </c>
      <c r="F44" s="7">
        <f t="shared" ref="F44:F50" si="47">IFERROR(((D44*E44)),0)</f>
        <v>0</v>
      </c>
      <c r="G44" s="45">
        <f>D44</f>
        <v>0</v>
      </c>
      <c r="H44" s="48" t="e">
        <f>VLOOKUP('Walkthrough (Counts)'!$H$23,'Material &amp; Labor Pricing'!$E$127:$F$129,2,FALSE)</f>
        <v>#N/A</v>
      </c>
      <c r="I44" s="7">
        <f t="shared" ref="I44" si="48">IFERROR(G44*H44,0)</f>
        <v>0</v>
      </c>
      <c r="K44" s="7">
        <f t="shared" ref="K44:K50" si="49">B44*$K$2</f>
        <v>0</v>
      </c>
      <c r="L44" s="7">
        <f t="shared" ref="L44:L50" si="50">B44*$L$2</f>
        <v>0</v>
      </c>
      <c r="M44" s="7">
        <f t="shared" ref="M44:M50" si="51">B44*$M$2</f>
        <v>0</v>
      </c>
      <c r="N44" s="7" t="e">
        <f t="shared" ref="N44:N50" si="52">((B44/$B$91)*($B$97))</f>
        <v>#DIV/0!</v>
      </c>
      <c r="O44" s="7" t="e">
        <f t="shared" ref="O44:O50" si="53">N44+M44+L44+K44+B44</f>
        <v>#DIV/0!</v>
      </c>
    </row>
    <row r="45" spans="1:15" ht="14.25" x14ac:dyDescent="0.2">
      <c r="A45" s="27" t="s">
        <v>26</v>
      </c>
      <c r="B45" s="7">
        <f t="shared" si="45"/>
        <v>0</v>
      </c>
      <c r="C45" s="7">
        <f t="shared" si="46"/>
        <v>0</v>
      </c>
      <c r="D45" s="45">
        <f t="shared" ref="D45:D49" si="54">G45</f>
        <v>0</v>
      </c>
      <c r="E45" s="48" t="e">
        <f>VLOOKUP('Walkthrough (Counts)'!$H$20,'Material &amp; Labor Pricing'!$A$45:$B$65,2,FALSE)</f>
        <v>#N/A</v>
      </c>
      <c r="F45" s="7">
        <f t="shared" si="47"/>
        <v>0</v>
      </c>
      <c r="G45" s="45">
        <f>'Walkthrough (Counts)'!F20</f>
        <v>0</v>
      </c>
      <c r="H45" s="48" t="e">
        <f>VLOOKUP('Walkthrough (Counts)'!$H$20,'Material &amp; Labor Pricing'!$E$45:$F$65,2,FALSE)</f>
        <v>#N/A</v>
      </c>
      <c r="I45" s="7">
        <f t="shared" ref="I45:I50" si="55">IFERROR(G45*H45,0)</f>
        <v>0</v>
      </c>
      <c r="K45" s="7">
        <f t="shared" si="49"/>
        <v>0</v>
      </c>
      <c r="L45" s="7">
        <f t="shared" si="50"/>
        <v>0</v>
      </c>
      <c r="M45" s="7">
        <f t="shared" si="51"/>
        <v>0</v>
      </c>
      <c r="N45" s="7" t="e">
        <f t="shared" si="52"/>
        <v>#DIV/0!</v>
      </c>
      <c r="O45" s="7" t="e">
        <f t="shared" si="53"/>
        <v>#DIV/0!</v>
      </c>
    </row>
    <row r="46" spans="1:15" ht="14.25" x14ac:dyDescent="0.2">
      <c r="A46" s="27" t="s">
        <v>250</v>
      </c>
      <c r="B46" s="7">
        <f t="shared" si="45"/>
        <v>0</v>
      </c>
      <c r="C46" s="7">
        <f t="shared" si="46"/>
        <v>0</v>
      </c>
      <c r="D46" s="45">
        <f t="shared" si="54"/>
        <v>0</v>
      </c>
      <c r="E46" s="48" t="e">
        <f>VLOOKUP('Walkthrough (Counts)'!$H$16,'Material &amp; Labor Pricing'!$A$45:$B$65,2,FALSE)</f>
        <v>#N/A</v>
      </c>
      <c r="F46" s="7">
        <f t="shared" si="47"/>
        <v>0</v>
      </c>
      <c r="G46" s="45">
        <f>'Walkthrough (Counts)'!F16</f>
        <v>0</v>
      </c>
      <c r="H46" s="48" t="e">
        <f>VLOOKUP('Walkthrough (Counts)'!$H$16,'Material &amp; Labor Pricing'!$E$45:$F$65,2,FALSE)</f>
        <v>#N/A</v>
      </c>
      <c r="I46" s="7">
        <f t="shared" si="55"/>
        <v>0</v>
      </c>
      <c r="K46" s="7">
        <f t="shared" si="49"/>
        <v>0</v>
      </c>
      <c r="L46" s="7">
        <f t="shared" si="50"/>
        <v>0</v>
      </c>
      <c r="M46" s="7">
        <f t="shared" si="51"/>
        <v>0</v>
      </c>
      <c r="N46" s="7" t="e">
        <f t="shared" si="52"/>
        <v>#DIV/0!</v>
      </c>
      <c r="O46" s="7" t="e">
        <f t="shared" si="53"/>
        <v>#DIV/0!</v>
      </c>
    </row>
    <row r="47" spans="1:15" ht="14.25" x14ac:dyDescent="0.2">
      <c r="A47" s="27" t="s">
        <v>249</v>
      </c>
      <c r="B47" s="7">
        <f t="shared" si="45"/>
        <v>0</v>
      </c>
      <c r="C47" s="7">
        <f t="shared" si="46"/>
        <v>0</v>
      </c>
      <c r="D47" s="45">
        <f t="shared" si="54"/>
        <v>0</v>
      </c>
      <c r="E47" s="48" t="e">
        <f>VLOOKUP('Walkthrough (Counts)'!$H$17,'Material &amp; Labor Pricing'!$A$45:$B$65,2,FALSE)</f>
        <v>#N/A</v>
      </c>
      <c r="F47" s="7">
        <f t="shared" si="47"/>
        <v>0</v>
      </c>
      <c r="G47" s="45">
        <f>'Walkthrough (Counts)'!F17</f>
        <v>0</v>
      </c>
      <c r="H47" s="48" t="e">
        <f>VLOOKUP('Walkthrough (Counts)'!$H$17,'Material &amp; Labor Pricing'!$E$45:$F$65,2,FALSE)</f>
        <v>#N/A</v>
      </c>
      <c r="I47" s="7">
        <f>IFERROR(G47*H47,0)</f>
        <v>0</v>
      </c>
      <c r="K47" s="7">
        <f t="shared" si="49"/>
        <v>0</v>
      </c>
      <c r="L47" s="7">
        <f t="shared" si="50"/>
        <v>0</v>
      </c>
      <c r="M47" s="7">
        <f t="shared" si="51"/>
        <v>0</v>
      </c>
      <c r="N47" s="7" t="e">
        <f t="shared" si="52"/>
        <v>#DIV/0!</v>
      </c>
      <c r="O47" s="7" t="e">
        <f t="shared" si="53"/>
        <v>#DIV/0!</v>
      </c>
    </row>
    <row r="48" spans="1:15" ht="14.25" x14ac:dyDescent="0.2">
      <c r="A48" s="27" t="s">
        <v>251</v>
      </c>
      <c r="B48" s="7">
        <f t="shared" si="45"/>
        <v>0</v>
      </c>
      <c r="C48" s="7">
        <f t="shared" si="46"/>
        <v>0</v>
      </c>
      <c r="D48" s="45">
        <f t="shared" si="54"/>
        <v>0</v>
      </c>
      <c r="E48" s="48" t="e">
        <f>VLOOKUP('Walkthrough (Counts)'!$H$18,'Material &amp; Labor Pricing'!$A$45:$B$65,2,FALSE)</f>
        <v>#N/A</v>
      </c>
      <c r="F48" s="7">
        <f t="shared" si="47"/>
        <v>0</v>
      </c>
      <c r="G48" s="45">
        <f>'Walkthrough (Counts)'!F18</f>
        <v>0</v>
      </c>
      <c r="H48" s="48" t="e">
        <f>VLOOKUP('Walkthrough (Counts)'!$H$18,'Material &amp; Labor Pricing'!$E$45:$F$65,2,FALSE)</f>
        <v>#N/A</v>
      </c>
      <c r="I48" s="7">
        <f>IFERROR(G48*H48,0)</f>
        <v>0</v>
      </c>
      <c r="K48" s="7">
        <f t="shared" si="49"/>
        <v>0</v>
      </c>
      <c r="L48" s="7">
        <f t="shared" si="50"/>
        <v>0</v>
      </c>
      <c r="M48" s="7">
        <f t="shared" si="51"/>
        <v>0</v>
      </c>
      <c r="N48" s="7" t="e">
        <f t="shared" si="52"/>
        <v>#DIV/0!</v>
      </c>
      <c r="O48" s="7" t="e">
        <f t="shared" si="53"/>
        <v>#DIV/0!</v>
      </c>
    </row>
    <row r="49" spans="1:15" ht="14.25" x14ac:dyDescent="0.2">
      <c r="A49" s="8" t="s">
        <v>30</v>
      </c>
      <c r="B49" s="7">
        <f t="shared" si="45"/>
        <v>0</v>
      </c>
      <c r="C49" s="7">
        <f t="shared" si="46"/>
        <v>0</v>
      </c>
      <c r="D49" s="45">
        <f t="shared" si="54"/>
        <v>0</v>
      </c>
      <c r="E49" s="48" t="e">
        <f>VLOOKUP('Walkthrough (Counts)'!$H$21,'Material &amp; Labor Pricing'!$A$45:$B$65,2,FALSE)</f>
        <v>#N/A</v>
      </c>
      <c r="F49" s="7">
        <f t="shared" si="47"/>
        <v>0</v>
      </c>
      <c r="G49" s="45">
        <f>'Walkthrough (Counts)'!F21</f>
        <v>0</v>
      </c>
      <c r="H49" s="48" t="e">
        <f>VLOOKUP('Walkthrough (Counts)'!$H$21,'Material &amp; Labor Pricing'!$E$45:$F$65,2,FALSE)</f>
        <v>#N/A</v>
      </c>
      <c r="I49" s="7">
        <f t="shared" si="55"/>
        <v>0</v>
      </c>
      <c r="K49" s="7">
        <f t="shared" si="49"/>
        <v>0</v>
      </c>
      <c r="L49" s="7">
        <f t="shared" si="50"/>
        <v>0</v>
      </c>
      <c r="M49" s="7">
        <f t="shared" si="51"/>
        <v>0</v>
      </c>
      <c r="N49" s="7" t="e">
        <f t="shared" si="52"/>
        <v>#DIV/0!</v>
      </c>
      <c r="O49" s="7" t="e">
        <f t="shared" si="53"/>
        <v>#DIV/0!</v>
      </c>
    </row>
    <row r="50" spans="1:15" ht="14.25" x14ac:dyDescent="0.2">
      <c r="A50" s="87" t="s">
        <v>192</v>
      </c>
      <c r="B50" s="7">
        <f>IFERROR(F50+I50+C50,0)</f>
        <v>0</v>
      </c>
      <c r="C50" s="7">
        <f t="shared" si="46"/>
        <v>0</v>
      </c>
      <c r="D50" s="50">
        <v>0</v>
      </c>
      <c r="E50" s="51">
        <v>0</v>
      </c>
      <c r="F50" s="7">
        <f t="shared" si="47"/>
        <v>0</v>
      </c>
      <c r="G50" s="50">
        <v>0</v>
      </c>
      <c r="H50" s="51">
        <v>0</v>
      </c>
      <c r="I50" s="7">
        <f t="shared" si="55"/>
        <v>0</v>
      </c>
      <c r="K50" s="7">
        <f t="shared" si="49"/>
        <v>0</v>
      </c>
      <c r="L50" s="7">
        <f t="shared" si="50"/>
        <v>0</v>
      </c>
      <c r="M50" s="7">
        <f t="shared" si="51"/>
        <v>0</v>
      </c>
      <c r="N50" s="7" t="e">
        <f t="shared" si="52"/>
        <v>#DIV/0!</v>
      </c>
      <c r="O50" s="7" t="e">
        <f t="shared" si="53"/>
        <v>#DIV/0!</v>
      </c>
    </row>
    <row r="51" spans="1:15" ht="15" x14ac:dyDescent="0.25">
      <c r="A51" s="120" t="s">
        <v>308</v>
      </c>
      <c r="B51" s="4">
        <f>SUM(B44:B50)</f>
        <v>0</v>
      </c>
      <c r="C51" s="4">
        <f>IFERROR(SUM(C44:C50),0)</f>
        <v>0</v>
      </c>
      <c r="D51" s="121"/>
      <c r="E51" s="4">
        <f>IFERROR(SUM(E44:E50),0)</f>
        <v>0</v>
      </c>
      <c r="F51" s="4">
        <f>IFERROR(SUM(F44:F50),0)</f>
        <v>0</v>
      </c>
      <c r="G51" s="121"/>
      <c r="H51" s="4">
        <f>IFERROR(SUM(H44:H50),0)</f>
        <v>0</v>
      </c>
      <c r="I51" s="4">
        <f>IFERROR(SUM(I44:I50),0)</f>
        <v>0</v>
      </c>
      <c r="K51" s="4">
        <f>IFERROR(SUM(K44:K50),0)</f>
        <v>0</v>
      </c>
      <c r="L51" s="4">
        <f>IFERROR(SUM(L44:L50),0)</f>
        <v>0</v>
      </c>
      <c r="M51" s="4">
        <f>IFERROR(SUM(M44:M50),0)</f>
        <v>0</v>
      </c>
      <c r="N51" s="4">
        <f>IFERROR(SUM(N44:N50),0)</f>
        <v>0</v>
      </c>
      <c r="O51" s="4">
        <f>IFERROR(SUM(O44:O50),0)</f>
        <v>0</v>
      </c>
    </row>
    <row r="52" spans="1:15" x14ac:dyDescent="0.2">
      <c r="B52" s="24"/>
      <c r="C52" s="24"/>
      <c r="E52" s="77"/>
      <c r="F52" s="24"/>
      <c r="H52" s="77"/>
      <c r="I52" s="24"/>
      <c r="K52" s="24"/>
      <c r="L52" s="24"/>
      <c r="M52" s="24"/>
      <c r="N52" s="24"/>
      <c r="O52" s="24"/>
    </row>
    <row r="53" spans="1:15" ht="15" x14ac:dyDescent="0.25">
      <c r="A53" s="120" t="s">
        <v>325</v>
      </c>
      <c r="B53" s="7"/>
      <c r="C53" s="7"/>
      <c r="D53" s="45"/>
      <c r="E53" s="48"/>
      <c r="F53" s="7"/>
      <c r="G53" s="45"/>
      <c r="H53" s="48"/>
      <c r="I53" s="7"/>
      <c r="K53" s="7"/>
      <c r="L53" s="7"/>
      <c r="M53" s="7"/>
      <c r="N53" s="7"/>
      <c r="O53" s="7"/>
    </row>
    <row r="54" spans="1:15" ht="14.25" x14ac:dyDescent="0.2">
      <c r="A54" s="87" t="s">
        <v>252</v>
      </c>
      <c r="B54" s="7">
        <f t="shared" ref="B54:B57" si="56">IFERROR(F54+I54+C54,0)</f>
        <v>0</v>
      </c>
      <c r="C54" s="7">
        <f>IFERROR((F54*$C$5),0)</f>
        <v>0</v>
      </c>
      <c r="D54" s="45">
        <f>G54*110%</f>
        <v>0</v>
      </c>
      <c r="E54" s="48" t="e">
        <f>VLOOKUP('Walkthrough (Counts)'!$D$17,'Material &amp; Labor Pricing'!$A$9:$B$16,2,FALSE)</f>
        <v>#N/A</v>
      </c>
      <c r="F54" s="7">
        <f t="shared" ref="F54:F57" si="57">IFERROR(((D54*E54)),0)</f>
        <v>0</v>
      </c>
      <c r="G54" s="45">
        <f>'Walkthrough (Counts)'!B14</f>
        <v>0</v>
      </c>
      <c r="H54" s="48" t="e">
        <f>VLOOKUP('Walkthrough (Counts)'!$D$17,'Material &amp; Labor Pricing'!$E$9:$F$16,2,FALSE)</f>
        <v>#N/A</v>
      </c>
      <c r="I54" s="88">
        <f>IFERROR(G54*H54,0)</f>
        <v>0</v>
      </c>
      <c r="K54" s="7">
        <f>B54*$K$2</f>
        <v>0</v>
      </c>
      <c r="L54" s="7">
        <f>B54*$L$2</f>
        <v>0</v>
      </c>
      <c r="M54" s="7">
        <f>B54*$M$2</f>
        <v>0</v>
      </c>
      <c r="N54" s="7" t="e">
        <f t="shared" ref="N54:N57" si="58">((B54/$B$91)*($B$97))</f>
        <v>#DIV/0!</v>
      </c>
      <c r="O54" s="7" t="e">
        <f t="shared" ref="O54:O57" si="59">N54+M54+L54+K54+B54</f>
        <v>#DIV/0!</v>
      </c>
    </row>
    <row r="55" spans="1:15" ht="14.25" x14ac:dyDescent="0.2">
      <c r="A55" s="87" t="s">
        <v>253</v>
      </c>
      <c r="B55" s="7">
        <f t="shared" si="56"/>
        <v>0</v>
      </c>
      <c r="C55" s="7">
        <f>IFERROR((F55*$C$5),0)</f>
        <v>0</v>
      </c>
      <c r="D55" s="45">
        <f>G55</f>
        <v>0</v>
      </c>
      <c r="E55" s="48" t="e">
        <f>VLOOKUP('Walkthrough (Counts)'!$D$19,'Material &amp; Labor Pricing'!$A$9:$B$16,2,FALSE)</f>
        <v>#N/A</v>
      </c>
      <c r="F55" s="7">
        <f t="shared" si="57"/>
        <v>0</v>
      </c>
      <c r="G55" s="45">
        <f>'Walkthrough (Counts)'!B19</f>
        <v>0</v>
      </c>
      <c r="H55" s="48" t="e">
        <f>VLOOKUP('Walkthrough (Counts)'!$D$19,'Material &amp; Labor Pricing'!$E$9:$F$16,2,FALSE)</f>
        <v>#N/A</v>
      </c>
      <c r="I55" s="88">
        <f>IFERROR(G55*H55,0)</f>
        <v>0</v>
      </c>
      <c r="K55" s="7">
        <f>B55*$K$2</f>
        <v>0</v>
      </c>
      <c r="L55" s="7">
        <f>B55*$L$2</f>
        <v>0</v>
      </c>
      <c r="M55" s="7">
        <f>B55*$M$2</f>
        <v>0</v>
      </c>
      <c r="N55" s="7" t="e">
        <f t="shared" si="58"/>
        <v>#DIV/0!</v>
      </c>
      <c r="O55" s="7" t="e">
        <f t="shared" si="59"/>
        <v>#DIV/0!</v>
      </c>
    </row>
    <row r="56" spans="1:15" ht="14.25" x14ac:dyDescent="0.2">
      <c r="A56" s="87" t="s">
        <v>254</v>
      </c>
      <c r="B56" s="7">
        <f t="shared" si="56"/>
        <v>0</v>
      </c>
      <c r="C56" s="7">
        <f>IFERROR((F56*$C$5),0)</f>
        <v>0</v>
      </c>
      <c r="D56" s="45">
        <f>G56</f>
        <v>0</v>
      </c>
      <c r="E56" s="48" t="e">
        <f>VLOOKUP('Walkthrough (Counts)'!$D$18,'Material &amp; Labor Pricing'!$A$9:$B$16,2,FALSE)</f>
        <v>#N/A</v>
      </c>
      <c r="F56" s="7">
        <f t="shared" si="57"/>
        <v>0</v>
      </c>
      <c r="G56" s="45">
        <f>'Walkthrough (Counts)'!B18</f>
        <v>0</v>
      </c>
      <c r="H56" s="48" t="e">
        <f>VLOOKUP('Walkthrough (Counts)'!$D$18,'Material &amp; Labor Pricing'!$E$9:$F$16,2,FALSE)</f>
        <v>#N/A</v>
      </c>
      <c r="I56" s="88">
        <f>IFERROR(G56*H56,0)</f>
        <v>0</v>
      </c>
      <c r="K56" s="7">
        <f>B56*$K$2</f>
        <v>0</v>
      </c>
      <c r="L56" s="7">
        <f>B56*$L$2</f>
        <v>0</v>
      </c>
      <c r="M56" s="7">
        <f>B56*$M$2</f>
        <v>0</v>
      </c>
      <c r="N56" s="7" t="e">
        <f t="shared" si="58"/>
        <v>#DIV/0!</v>
      </c>
      <c r="O56" s="7" t="e">
        <f t="shared" si="59"/>
        <v>#DIV/0!</v>
      </c>
    </row>
    <row r="57" spans="1:15" ht="14.25" x14ac:dyDescent="0.2">
      <c r="A57" s="8" t="s">
        <v>25</v>
      </c>
      <c r="B57" s="7">
        <f t="shared" si="56"/>
        <v>0</v>
      </c>
      <c r="C57" s="7">
        <f>IFERROR((F57*$C$5),0)</f>
        <v>0</v>
      </c>
      <c r="D57" s="45">
        <f>G57*120%</f>
        <v>0</v>
      </c>
      <c r="E57" s="48" t="e">
        <f>VLOOKUP('Walkthrough (Counts)'!D16,'Material &amp; Labor Pricing'!A3:B6,2,FALSE)</f>
        <v>#N/A</v>
      </c>
      <c r="F57" s="7">
        <f t="shared" si="57"/>
        <v>0</v>
      </c>
      <c r="G57" s="45">
        <f>'Walkthrough (Counts)'!B16</f>
        <v>0</v>
      </c>
      <c r="H57" s="48" t="e">
        <f>VLOOKUP('Walkthrough (Counts)'!D16,'Material &amp; Labor Pricing'!E3:F6,2,FALSE)</f>
        <v>#N/A</v>
      </c>
      <c r="I57" s="7">
        <f>IFERROR(G57*H57,0)</f>
        <v>0</v>
      </c>
      <c r="K57" s="7">
        <f>B57*$K$2</f>
        <v>0</v>
      </c>
      <c r="L57" s="7">
        <f>B57*$L$2</f>
        <v>0</v>
      </c>
      <c r="M57" s="7">
        <f>B57*$M$2</f>
        <v>0</v>
      </c>
      <c r="N57" s="7" t="e">
        <f t="shared" si="58"/>
        <v>#DIV/0!</v>
      </c>
      <c r="O57" s="7" t="e">
        <f t="shared" si="59"/>
        <v>#DIV/0!</v>
      </c>
    </row>
    <row r="58" spans="1:15" ht="15" x14ac:dyDescent="0.25">
      <c r="A58" s="120" t="s">
        <v>326</v>
      </c>
      <c r="B58" s="4">
        <f>SUM(B54:B57)</f>
        <v>0</v>
      </c>
      <c r="C58" s="4">
        <f>IFERROR(SUM(C54:C57),0)</f>
        <v>0</v>
      </c>
      <c r="D58" s="121"/>
      <c r="E58" s="4">
        <f>IFERROR(SUM(E54:E57),0)</f>
        <v>0</v>
      </c>
      <c r="F58" s="4">
        <f>IFERROR(SUM(F54:F57),0)</f>
        <v>0</v>
      </c>
      <c r="G58" s="121"/>
      <c r="H58" s="4">
        <f>IFERROR(SUM(H54:H57),0)</f>
        <v>0</v>
      </c>
      <c r="I58" s="4">
        <f>IFERROR(SUM(I54:I57),0)</f>
        <v>0</v>
      </c>
      <c r="K58" s="4">
        <f>IFERROR(SUM(K54:K57),0)</f>
        <v>0</v>
      </c>
      <c r="L58" s="4">
        <f>IFERROR(SUM(L54:L57),0)</f>
        <v>0</v>
      </c>
      <c r="M58" s="4">
        <f>IFERROR(SUM(M54:M57),0)</f>
        <v>0</v>
      </c>
      <c r="N58" s="4">
        <f>IFERROR(SUM(N54:N57),0)</f>
        <v>0</v>
      </c>
      <c r="O58" s="4">
        <f>IFERROR(SUM(O54:O57),0)</f>
        <v>0</v>
      </c>
    </row>
    <row r="59" spans="1:15" ht="15" x14ac:dyDescent="0.25">
      <c r="A59" s="120"/>
      <c r="B59" s="4"/>
      <c r="C59" s="4"/>
      <c r="D59" s="121"/>
      <c r="E59" s="4"/>
      <c r="F59" s="4"/>
      <c r="G59" s="121"/>
      <c r="H59" s="4"/>
      <c r="I59" s="4"/>
      <c r="K59" s="4"/>
      <c r="L59" s="4"/>
      <c r="M59" s="4"/>
      <c r="N59" s="4"/>
      <c r="O59" s="4"/>
    </row>
    <row r="60" spans="1:15" ht="15" x14ac:dyDescent="0.25">
      <c r="A60" s="135" t="s">
        <v>17</v>
      </c>
      <c r="B60" s="7">
        <f t="shared" ref="B60" si="60">IFERROR(F60+I60+C60,0)</f>
        <v>0</v>
      </c>
      <c r="C60" s="7">
        <f>IFERROR((F60*$C$5),0)</f>
        <v>0</v>
      </c>
      <c r="D60" s="50">
        <f>G60</f>
        <v>0</v>
      </c>
      <c r="E60" s="51">
        <v>0</v>
      </c>
      <c r="F60" s="4">
        <f t="shared" ref="F60" si="61">IFERROR(((D60*E60)),0)</f>
        <v>0</v>
      </c>
      <c r="G60" s="45">
        <f>'Walkthrough (Counts)'!B13</f>
        <v>0</v>
      </c>
      <c r="H60" s="51">
        <v>3</v>
      </c>
      <c r="I60" s="47">
        <f>IFERROR(G60*H60,0)</f>
        <v>0</v>
      </c>
      <c r="K60" s="4">
        <f>B60*$K$2</f>
        <v>0</v>
      </c>
      <c r="L60" s="4">
        <f>B60*$L$2</f>
        <v>0</v>
      </c>
      <c r="M60" s="4">
        <f>B60*$M$2</f>
        <v>0</v>
      </c>
      <c r="N60" s="4" t="e">
        <f t="shared" ref="N60" si="62">((B60/$B$91)*($B$97))</f>
        <v>#DIV/0!</v>
      </c>
      <c r="O60" s="4" t="e">
        <f>N60+M60+L60+K60+B60</f>
        <v>#DIV/0!</v>
      </c>
    </row>
    <row r="61" spans="1:15" ht="15" x14ac:dyDescent="0.25">
      <c r="A61" s="135"/>
      <c r="B61" s="7"/>
      <c r="C61" s="7"/>
      <c r="D61" s="45"/>
      <c r="E61" s="48"/>
      <c r="F61" s="88"/>
      <c r="G61" s="45"/>
      <c r="H61" s="48"/>
      <c r="I61" s="47"/>
      <c r="K61" s="7"/>
      <c r="L61" s="7"/>
      <c r="M61" s="7"/>
      <c r="N61" s="7"/>
      <c r="O61" s="7"/>
    </row>
    <row r="62" spans="1:15" ht="15" x14ac:dyDescent="0.25">
      <c r="A62" s="135" t="s">
        <v>189</v>
      </c>
      <c r="B62" s="7"/>
      <c r="C62" s="7"/>
      <c r="D62" s="45"/>
      <c r="E62" s="48"/>
      <c r="F62" s="88"/>
      <c r="G62" s="45"/>
      <c r="H62" s="48"/>
      <c r="I62" s="47"/>
      <c r="K62" s="7"/>
      <c r="L62" s="7"/>
      <c r="M62" s="7"/>
      <c r="N62" s="7"/>
      <c r="O62" s="7"/>
    </row>
    <row r="63" spans="1:15" ht="14.25" x14ac:dyDescent="0.2">
      <c r="A63" s="87" t="s">
        <v>133</v>
      </c>
      <c r="B63" s="7">
        <f t="shared" ref="B63:B69" si="63">IFERROR(F63+I63+C63,0)</f>
        <v>0</v>
      </c>
      <c r="C63" s="7">
        <f t="shared" ref="C63:C69" si="64">IFERROR((F63*$C$5),0)</f>
        <v>0</v>
      </c>
      <c r="D63" s="45">
        <f>G63</f>
        <v>0</v>
      </c>
      <c r="E63" s="48">
        <f>VLOOKUP('Walkthrough (Counts)'!D21,'Material &amp; Labor Pricing'!$A$96:$B$105,2,FALSE)</f>
        <v>20</v>
      </c>
      <c r="F63" s="7">
        <f t="shared" ref="F63:F68" si="65">IFERROR(((D63*E63)),0)</f>
        <v>0</v>
      </c>
      <c r="G63" s="45">
        <f>'Walkthrough (Counts)'!B21</f>
        <v>0</v>
      </c>
      <c r="H63" s="48">
        <f>VLOOKUP('Walkthrough (Counts)'!D21,'Material &amp; Labor Pricing'!$E$96:$F$105,2,FALSE)</f>
        <v>10</v>
      </c>
      <c r="I63" s="7">
        <f t="shared" ref="I63:I68" si="66">IFERROR(G63*H63,0)</f>
        <v>0</v>
      </c>
      <c r="K63" s="7">
        <f t="shared" ref="K63:K68" si="67">B63*$K$2</f>
        <v>0</v>
      </c>
      <c r="L63" s="7">
        <f t="shared" ref="L63:L68" si="68">B63*$L$2</f>
        <v>0</v>
      </c>
      <c r="M63" s="7">
        <f t="shared" ref="M63:M68" si="69">B63*$M$2</f>
        <v>0</v>
      </c>
      <c r="N63" s="7" t="e">
        <f t="shared" ref="N63:N69" si="70">((B63/$B$91)*($B$97))</f>
        <v>#DIV/0!</v>
      </c>
      <c r="O63" s="7" t="e">
        <f t="shared" ref="O63:O69" si="71">N63+M63+L63+K63+B63</f>
        <v>#DIV/0!</v>
      </c>
    </row>
    <row r="64" spans="1:15" ht="14.25" x14ac:dyDescent="0.2">
      <c r="A64" s="87" t="s">
        <v>32</v>
      </c>
      <c r="B64" s="7">
        <f t="shared" si="63"/>
        <v>0</v>
      </c>
      <c r="C64" s="7">
        <f t="shared" si="64"/>
        <v>0</v>
      </c>
      <c r="D64" s="45">
        <f>G64</f>
        <v>0</v>
      </c>
      <c r="E64" s="48">
        <f>VLOOKUP('Walkthrough (Counts)'!D22,'Material &amp; Labor Pricing'!$A$96:$B$105,2,FALSE)</f>
        <v>26</v>
      </c>
      <c r="F64" s="7">
        <f t="shared" si="65"/>
        <v>0</v>
      </c>
      <c r="G64" s="45">
        <f>'Walkthrough (Counts)'!B22</f>
        <v>0</v>
      </c>
      <c r="H64" s="48">
        <f>VLOOKUP('Walkthrough (Counts)'!D22,'Material &amp; Labor Pricing'!$E$96:$F$105,2,FALSE)</f>
        <v>25</v>
      </c>
      <c r="I64" s="7">
        <f t="shared" si="66"/>
        <v>0</v>
      </c>
      <c r="K64" s="7">
        <f t="shared" si="67"/>
        <v>0</v>
      </c>
      <c r="L64" s="7">
        <f t="shared" si="68"/>
        <v>0</v>
      </c>
      <c r="M64" s="7">
        <f t="shared" si="69"/>
        <v>0</v>
      </c>
      <c r="N64" s="7" t="e">
        <f t="shared" si="70"/>
        <v>#DIV/0!</v>
      </c>
      <c r="O64" s="7" t="e">
        <f t="shared" si="71"/>
        <v>#DIV/0!</v>
      </c>
    </row>
    <row r="65" spans="1:17" ht="14.25" x14ac:dyDescent="0.2">
      <c r="A65" s="87" t="s">
        <v>29</v>
      </c>
      <c r="B65" s="7">
        <f t="shared" si="63"/>
        <v>0</v>
      </c>
      <c r="C65" s="7">
        <f t="shared" si="64"/>
        <v>0</v>
      </c>
      <c r="D65" s="45">
        <f>G65</f>
        <v>0</v>
      </c>
      <c r="E65" s="48">
        <f>VLOOKUP('Walkthrough (Counts)'!D20,'Material &amp; Labor Pricing'!$A$96:$B$105,2,FALSE)</f>
        <v>0</v>
      </c>
      <c r="F65" s="7">
        <f t="shared" si="65"/>
        <v>0</v>
      </c>
      <c r="G65" s="45">
        <f>'Walkthrough (Counts)'!B20</f>
        <v>0</v>
      </c>
      <c r="H65" s="48">
        <f>VLOOKUP('Walkthrough (Counts)'!D20,'Material &amp; Labor Pricing'!$E$96:$F$105,2,FALSE)</f>
        <v>10</v>
      </c>
      <c r="I65" s="7">
        <f t="shared" si="66"/>
        <v>0</v>
      </c>
      <c r="K65" s="7">
        <f t="shared" si="67"/>
        <v>0</v>
      </c>
      <c r="L65" s="7">
        <f t="shared" si="68"/>
        <v>0</v>
      </c>
      <c r="M65" s="7">
        <f t="shared" si="69"/>
        <v>0</v>
      </c>
      <c r="N65" s="7" t="e">
        <f t="shared" si="70"/>
        <v>#DIV/0!</v>
      </c>
      <c r="O65" s="7" t="e">
        <f t="shared" si="71"/>
        <v>#DIV/0!</v>
      </c>
    </row>
    <row r="66" spans="1:17" ht="14.25" x14ac:dyDescent="0.2">
      <c r="A66" s="89" t="s">
        <v>34</v>
      </c>
      <c r="B66" s="7">
        <f t="shared" si="63"/>
        <v>0</v>
      </c>
      <c r="C66" s="7">
        <f t="shared" si="64"/>
        <v>0</v>
      </c>
      <c r="D66" s="45">
        <f>G66</f>
        <v>0</v>
      </c>
      <c r="E66" s="48">
        <f>VLOOKUP('Walkthrough (Counts)'!D23,'Material &amp; Labor Pricing'!$A$96:$B$105,2,FALSE)</f>
        <v>20</v>
      </c>
      <c r="F66" s="7">
        <f t="shared" si="65"/>
        <v>0</v>
      </c>
      <c r="G66" s="45">
        <f>'Walkthrough (Counts)'!B23</f>
        <v>0</v>
      </c>
      <c r="H66" s="48">
        <f>VLOOKUP('Walkthrough (Counts)'!D23,'Material &amp; Labor Pricing'!$E$96:$F$105,2,FALSE)</f>
        <v>0</v>
      </c>
      <c r="I66" s="88">
        <f t="shared" si="66"/>
        <v>0</v>
      </c>
      <c r="K66" s="7">
        <f t="shared" si="67"/>
        <v>0</v>
      </c>
      <c r="L66" s="7">
        <f t="shared" si="68"/>
        <v>0</v>
      </c>
      <c r="M66" s="7">
        <f t="shared" si="69"/>
        <v>0</v>
      </c>
      <c r="N66" s="7" t="e">
        <f t="shared" si="70"/>
        <v>#DIV/0!</v>
      </c>
      <c r="O66" s="7" t="e">
        <f t="shared" si="71"/>
        <v>#DIV/0!</v>
      </c>
    </row>
    <row r="67" spans="1:17" ht="14.25" x14ac:dyDescent="0.2">
      <c r="A67" s="27" t="s">
        <v>246</v>
      </c>
      <c r="B67" s="7">
        <f t="shared" si="63"/>
        <v>0</v>
      </c>
      <c r="C67" s="7">
        <f t="shared" si="64"/>
        <v>0</v>
      </c>
      <c r="D67" s="45">
        <v>1</v>
      </c>
      <c r="E67" s="48" t="e">
        <f>VLOOKUP('Walkthrough (Counts)'!$D$12,'Material &amp; Labor Pricing'!$A$96:$B$105,2,FALSE)</f>
        <v>#N/A</v>
      </c>
      <c r="F67" s="7">
        <f t="shared" si="65"/>
        <v>0</v>
      </c>
      <c r="G67" s="45">
        <f>D67</f>
        <v>1</v>
      </c>
      <c r="H67" s="48" t="e">
        <f>VLOOKUP('Walkthrough (Counts)'!$D$12,'Material &amp; Labor Pricing'!$E$96:$F$105,2,FALSE)</f>
        <v>#N/A</v>
      </c>
      <c r="I67" s="7">
        <f t="shared" si="66"/>
        <v>0</v>
      </c>
      <c r="K67" s="7">
        <f t="shared" si="67"/>
        <v>0</v>
      </c>
      <c r="L67" s="7">
        <f t="shared" si="68"/>
        <v>0</v>
      </c>
      <c r="M67" s="7">
        <f t="shared" si="69"/>
        <v>0</v>
      </c>
      <c r="N67" s="7" t="e">
        <f t="shared" si="70"/>
        <v>#DIV/0!</v>
      </c>
      <c r="O67" s="7" t="e">
        <f t="shared" si="71"/>
        <v>#DIV/0!</v>
      </c>
    </row>
    <row r="68" spans="1:17" ht="14.25" x14ac:dyDescent="0.2">
      <c r="A68" s="27" t="s">
        <v>244</v>
      </c>
      <c r="B68" s="7">
        <f t="shared" si="63"/>
        <v>0</v>
      </c>
      <c r="C68" s="7">
        <f t="shared" si="64"/>
        <v>0</v>
      </c>
      <c r="D68" s="45">
        <v>1</v>
      </c>
      <c r="E68" s="48" t="e">
        <f>VLOOKUP('Walkthrough (Counts)'!H12,'Material &amp; Labor Pricing'!$A$96:$B$105,2,FALSE)</f>
        <v>#N/A</v>
      </c>
      <c r="F68" s="7">
        <f t="shared" si="65"/>
        <v>0</v>
      </c>
      <c r="G68" s="45">
        <f>D68</f>
        <v>1</v>
      </c>
      <c r="H68" s="48" t="e">
        <f>VLOOKUP('Walkthrough (Counts)'!H12,'Material &amp; Labor Pricing'!$E$96:$F$105,2,FALSE)</f>
        <v>#N/A</v>
      </c>
      <c r="I68" s="7">
        <f t="shared" si="66"/>
        <v>0</v>
      </c>
      <c r="K68" s="7">
        <f t="shared" si="67"/>
        <v>0</v>
      </c>
      <c r="L68" s="7">
        <f t="shared" si="68"/>
        <v>0</v>
      </c>
      <c r="M68" s="7">
        <f t="shared" si="69"/>
        <v>0</v>
      </c>
      <c r="N68" s="7" t="e">
        <f t="shared" si="70"/>
        <v>#DIV/0!</v>
      </c>
      <c r="O68" s="7" t="e">
        <f t="shared" si="71"/>
        <v>#DIV/0!</v>
      </c>
    </row>
    <row r="69" spans="1:17" ht="14.25" x14ac:dyDescent="0.2">
      <c r="A69" s="87" t="s">
        <v>192</v>
      </c>
      <c r="B69" s="7">
        <f t="shared" si="63"/>
        <v>0</v>
      </c>
      <c r="C69" s="7">
        <f t="shared" si="64"/>
        <v>0</v>
      </c>
      <c r="D69" s="50">
        <v>0</v>
      </c>
      <c r="E69" s="51">
        <v>0</v>
      </c>
      <c r="F69" s="7">
        <f t="shared" ref="F69" si="72">IFERROR(((D69*E69)),0)</f>
        <v>0</v>
      </c>
      <c r="G69" s="50">
        <v>0</v>
      </c>
      <c r="H69" s="51">
        <v>0</v>
      </c>
      <c r="I69" s="7">
        <f t="shared" ref="I69" si="73">IFERROR(G69*H69,0)</f>
        <v>0</v>
      </c>
      <c r="K69" s="7">
        <f t="shared" ref="K69" si="74">B69*$K$2</f>
        <v>0</v>
      </c>
      <c r="L69" s="7">
        <f t="shared" ref="L69" si="75">B69*$L$2</f>
        <v>0</v>
      </c>
      <c r="M69" s="7">
        <f t="shared" ref="M69" si="76">B69*$M$2</f>
        <v>0</v>
      </c>
      <c r="N69" s="7" t="e">
        <f t="shared" si="70"/>
        <v>#DIV/0!</v>
      </c>
      <c r="O69" s="7" t="e">
        <f t="shared" si="71"/>
        <v>#DIV/0!</v>
      </c>
    </row>
    <row r="70" spans="1:17" ht="15" x14ac:dyDescent="0.25">
      <c r="A70" s="120" t="s">
        <v>308</v>
      </c>
      <c r="B70" s="4">
        <f>SUM(B63:B69)</f>
        <v>0</v>
      </c>
      <c r="C70" s="4">
        <f>IFERROR(SUM(C63:C69),0)</f>
        <v>0</v>
      </c>
      <c r="D70" s="121"/>
      <c r="E70" s="4">
        <f>IFERROR(SUM(E63:E69),0)</f>
        <v>0</v>
      </c>
      <c r="F70" s="4">
        <f>IFERROR(SUM(F63:F69),0)</f>
        <v>0</v>
      </c>
      <c r="G70" s="121"/>
      <c r="H70" s="4">
        <f>IFERROR(SUM(H63:H69),0)</f>
        <v>0</v>
      </c>
      <c r="I70" s="4">
        <f>IFERROR(SUM(I63:I69),0)</f>
        <v>0</v>
      </c>
      <c r="K70" s="4">
        <f>IFERROR(SUM(K63:K69),0)</f>
        <v>0</v>
      </c>
      <c r="L70" s="4">
        <f>IFERROR(SUM(L63:L69),0)</f>
        <v>0</v>
      </c>
      <c r="M70" s="4">
        <f>IFERROR(SUM(M63:M69),0)</f>
        <v>0</v>
      </c>
      <c r="N70" s="4">
        <f>IFERROR(SUM(N63:N69),0)</f>
        <v>0</v>
      </c>
      <c r="O70" s="4">
        <f>IFERROR(SUM(O63:O69),0)</f>
        <v>0</v>
      </c>
      <c r="P70" s="24"/>
    </row>
    <row r="71" spans="1:17" ht="14.25" x14ac:dyDescent="0.2">
      <c r="A71" s="87"/>
      <c r="B71" s="7"/>
      <c r="C71" s="7"/>
      <c r="D71" s="45"/>
      <c r="E71" s="48"/>
      <c r="F71" s="88"/>
      <c r="G71" s="45"/>
      <c r="H71" s="48"/>
      <c r="I71" s="88"/>
      <c r="K71" s="7"/>
      <c r="L71" s="7"/>
      <c r="M71" s="7"/>
      <c r="N71" s="7"/>
      <c r="O71" s="7"/>
    </row>
    <row r="72" spans="1:17" ht="15" x14ac:dyDescent="0.25">
      <c r="A72" s="120" t="s">
        <v>340</v>
      </c>
      <c r="B72" s="76"/>
      <c r="C72" s="76"/>
      <c r="D72" s="49"/>
      <c r="E72" s="47"/>
      <c r="F72" s="4"/>
      <c r="G72" s="49"/>
      <c r="H72" s="47"/>
      <c r="I72" s="4"/>
      <c r="K72" s="4"/>
      <c r="L72" s="4"/>
      <c r="M72" s="4"/>
      <c r="N72" s="4"/>
      <c r="O72" s="4"/>
    </row>
    <row r="73" spans="1:17" ht="14.25" x14ac:dyDescent="0.2">
      <c r="A73" s="8" t="s">
        <v>48</v>
      </c>
      <c r="B73" s="7">
        <f t="shared" ref="B73:B78" si="77">IFERROR(F73+I73+C73,0)</f>
        <v>0</v>
      </c>
      <c r="C73" s="7">
        <f t="shared" ref="C73:C78" si="78">IFERROR((F73*$C$5),0)</f>
        <v>0</v>
      </c>
      <c r="D73" s="45">
        <v>0</v>
      </c>
      <c r="E73" s="48">
        <v>0</v>
      </c>
      <c r="F73" s="7">
        <f t="shared" ref="F73:F78" si="79">IFERROR(((D73*E73)),0)</f>
        <v>0</v>
      </c>
      <c r="G73" s="50">
        <v>0</v>
      </c>
      <c r="H73" s="51">
        <v>200</v>
      </c>
      <c r="I73" s="7">
        <f t="shared" ref="I73:I78" si="80">IFERROR(G73*H73,0)</f>
        <v>0</v>
      </c>
      <c r="K73" s="7">
        <f t="shared" ref="K73:K78" si="81">B73*$K$2</f>
        <v>0</v>
      </c>
      <c r="L73" s="7">
        <f t="shared" ref="L73:L78" si="82">B73*$L$2</f>
        <v>0</v>
      </c>
      <c r="M73" s="7">
        <f t="shared" ref="M73:M78" si="83">B73*$M$2</f>
        <v>0</v>
      </c>
      <c r="N73" s="7" t="e">
        <f t="shared" ref="N73:N78" si="84">((B73/$B$91)*($B$97))</f>
        <v>#DIV/0!</v>
      </c>
      <c r="O73" s="7" t="e">
        <f t="shared" ref="O73:O78" si="85">N73+M73+L73+K73+B73</f>
        <v>#DIV/0!</v>
      </c>
    </row>
    <row r="74" spans="1:17" ht="14.25" x14ac:dyDescent="0.2">
      <c r="A74" s="8" t="s">
        <v>23</v>
      </c>
      <c r="B74" s="7">
        <f t="shared" si="77"/>
        <v>0</v>
      </c>
      <c r="C74" s="7">
        <f t="shared" si="78"/>
        <v>0</v>
      </c>
      <c r="D74" s="50">
        <v>0</v>
      </c>
      <c r="E74" s="51">
        <v>0</v>
      </c>
      <c r="F74" s="7">
        <f t="shared" si="79"/>
        <v>0</v>
      </c>
      <c r="G74" s="50">
        <v>0</v>
      </c>
      <c r="H74" s="51">
        <v>0</v>
      </c>
      <c r="I74" s="7">
        <f t="shared" si="80"/>
        <v>0</v>
      </c>
      <c r="K74" s="7">
        <f t="shared" si="81"/>
        <v>0</v>
      </c>
      <c r="L74" s="7">
        <f t="shared" si="82"/>
        <v>0</v>
      </c>
      <c r="M74" s="7">
        <f t="shared" si="83"/>
        <v>0</v>
      </c>
      <c r="N74" s="7" t="e">
        <f t="shared" si="84"/>
        <v>#DIV/0!</v>
      </c>
      <c r="O74" s="7" t="e">
        <f t="shared" si="85"/>
        <v>#DIV/0!</v>
      </c>
    </row>
    <row r="75" spans="1:17" ht="14.25" x14ac:dyDescent="0.2">
      <c r="A75" s="8" t="s">
        <v>313</v>
      </c>
      <c r="B75" s="7">
        <f t="shared" si="77"/>
        <v>0</v>
      </c>
      <c r="C75" s="7">
        <f t="shared" si="78"/>
        <v>0</v>
      </c>
      <c r="D75" s="50">
        <v>0</v>
      </c>
      <c r="E75" s="51">
        <v>60</v>
      </c>
      <c r="F75" s="7">
        <f t="shared" si="79"/>
        <v>0</v>
      </c>
      <c r="G75" s="50">
        <v>0</v>
      </c>
      <c r="H75" s="51">
        <v>0</v>
      </c>
      <c r="I75" s="7">
        <f t="shared" si="80"/>
        <v>0</v>
      </c>
      <c r="K75" s="7">
        <f t="shared" si="81"/>
        <v>0</v>
      </c>
      <c r="L75" s="7">
        <f t="shared" si="82"/>
        <v>0</v>
      </c>
      <c r="M75" s="7">
        <f t="shared" si="83"/>
        <v>0</v>
      </c>
      <c r="N75" s="7" t="e">
        <f t="shared" si="84"/>
        <v>#DIV/0!</v>
      </c>
      <c r="O75" s="7" t="e">
        <f t="shared" si="85"/>
        <v>#DIV/0!</v>
      </c>
    </row>
    <row r="76" spans="1:17" ht="14.25" x14ac:dyDescent="0.2">
      <c r="A76" s="8" t="s">
        <v>322</v>
      </c>
      <c r="B76" s="7">
        <f t="shared" si="77"/>
        <v>0</v>
      </c>
      <c r="C76" s="7">
        <f t="shared" si="78"/>
        <v>0</v>
      </c>
      <c r="D76" s="50">
        <v>0</v>
      </c>
      <c r="E76" s="51">
        <v>800</v>
      </c>
      <c r="F76" s="7">
        <f t="shared" si="79"/>
        <v>0</v>
      </c>
      <c r="G76" s="50">
        <v>0</v>
      </c>
      <c r="H76" s="51">
        <v>0</v>
      </c>
      <c r="I76" s="7">
        <f t="shared" si="80"/>
        <v>0</v>
      </c>
      <c r="K76" s="7">
        <f t="shared" si="81"/>
        <v>0</v>
      </c>
      <c r="L76" s="7">
        <f t="shared" si="82"/>
        <v>0</v>
      </c>
      <c r="M76" s="7">
        <f t="shared" si="83"/>
        <v>0</v>
      </c>
      <c r="N76" s="7" t="e">
        <f t="shared" si="84"/>
        <v>#DIV/0!</v>
      </c>
      <c r="O76" s="7" t="e">
        <f t="shared" si="85"/>
        <v>#DIV/0!</v>
      </c>
    </row>
    <row r="77" spans="1:17" ht="14.25" x14ac:dyDescent="0.2">
      <c r="A77" s="8" t="s">
        <v>115</v>
      </c>
      <c r="B77" s="7">
        <f t="shared" si="77"/>
        <v>0</v>
      </c>
      <c r="C77" s="7">
        <f t="shared" si="78"/>
        <v>0</v>
      </c>
      <c r="D77" s="50">
        <v>0</v>
      </c>
      <c r="E77" s="51">
        <v>0</v>
      </c>
      <c r="F77" s="7">
        <f t="shared" si="79"/>
        <v>0</v>
      </c>
      <c r="G77" s="50">
        <v>0</v>
      </c>
      <c r="H77" s="51">
        <v>0</v>
      </c>
      <c r="I77" s="7">
        <f t="shared" si="80"/>
        <v>0</v>
      </c>
      <c r="K77" s="7">
        <f t="shared" si="81"/>
        <v>0</v>
      </c>
      <c r="L77" s="7">
        <f t="shared" si="82"/>
        <v>0</v>
      </c>
      <c r="M77" s="7">
        <f t="shared" si="83"/>
        <v>0</v>
      </c>
      <c r="N77" s="7" t="e">
        <f t="shared" si="84"/>
        <v>#DIV/0!</v>
      </c>
      <c r="O77" s="7" t="e">
        <f t="shared" si="85"/>
        <v>#DIV/0!</v>
      </c>
    </row>
    <row r="78" spans="1:17" ht="14.25" x14ac:dyDescent="0.2">
      <c r="A78" s="27" t="s">
        <v>192</v>
      </c>
      <c r="B78" s="7">
        <f t="shared" si="77"/>
        <v>0</v>
      </c>
      <c r="C78" s="7">
        <f t="shared" si="78"/>
        <v>0</v>
      </c>
      <c r="D78" s="50">
        <v>0</v>
      </c>
      <c r="E78" s="51">
        <v>0</v>
      </c>
      <c r="F78" s="7">
        <f t="shared" si="79"/>
        <v>0</v>
      </c>
      <c r="G78" s="50">
        <v>0</v>
      </c>
      <c r="H78" s="51">
        <v>0</v>
      </c>
      <c r="I78" s="7">
        <f t="shared" si="80"/>
        <v>0</v>
      </c>
      <c r="K78" s="7">
        <f t="shared" si="81"/>
        <v>0</v>
      </c>
      <c r="L78" s="7">
        <f t="shared" si="82"/>
        <v>0</v>
      </c>
      <c r="M78" s="7">
        <f t="shared" si="83"/>
        <v>0</v>
      </c>
      <c r="N78" s="7" t="e">
        <f t="shared" si="84"/>
        <v>#DIV/0!</v>
      </c>
      <c r="O78" s="7" t="e">
        <f t="shared" si="85"/>
        <v>#DIV/0!</v>
      </c>
    </row>
    <row r="79" spans="1:17" ht="15" x14ac:dyDescent="0.25">
      <c r="A79" s="120" t="s">
        <v>341</v>
      </c>
      <c r="B79" s="4">
        <f>SUM(B73:B78)</f>
        <v>0</v>
      </c>
      <c r="C79" s="4">
        <f>SUM(C73:C78)</f>
        <v>0</v>
      </c>
      <c r="D79" s="121"/>
      <c r="E79" s="4">
        <f>SUM(E73:E78)</f>
        <v>860</v>
      </c>
      <c r="F79" s="4">
        <f>SUM(F73:F78)</f>
        <v>0</v>
      </c>
      <c r="G79" s="121"/>
      <c r="H79" s="4">
        <f>SUM(H73:H78)</f>
        <v>200</v>
      </c>
      <c r="I79" s="4">
        <f>SUM(I73:I78)</f>
        <v>0</v>
      </c>
      <c r="K79" s="4">
        <f>SUM(K73:K78)</f>
        <v>0</v>
      </c>
      <c r="L79" s="4">
        <f>SUM(L73:L78)</f>
        <v>0</v>
      </c>
      <c r="M79" s="4">
        <f>SUM(M73:M78)</f>
        <v>0</v>
      </c>
      <c r="N79" s="4" t="e">
        <f>SUM(N73:N78)</f>
        <v>#DIV/0!</v>
      </c>
      <c r="O79" s="4" t="e">
        <f>SUM(O73:O78)</f>
        <v>#DIV/0!</v>
      </c>
      <c r="P79" s="142"/>
      <c r="Q79" s="24"/>
    </row>
    <row r="80" spans="1:17" x14ac:dyDescent="0.2">
      <c r="B80" s="24"/>
      <c r="C80" s="24"/>
      <c r="E80" s="77"/>
      <c r="F80" s="24"/>
      <c r="H80" s="77"/>
      <c r="I80" s="24"/>
      <c r="K80" s="24"/>
      <c r="L80" s="24"/>
      <c r="M80" s="24"/>
      <c r="N80" s="24"/>
      <c r="O80" s="24"/>
    </row>
    <row r="81" spans="1:16" ht="15" x14ac:dyDescent="0.25">
      <c r="A81" s="28" t="s">
        <v>202</v>
      </c>
      <c r="B81" s="24"/>
      <c r="C81" s="24"/>
      <c r="E81" s="77"/>
      <c r="F81" s="24"/>
      <c r="H81" s="77"/>
      <c r="I81" s="24"/>
      <c r="K81" s="24"/>
      <c r="L81" s="24"/>
      <c r="M81" s="24"/>
      <c r="N81" s="24"/>
      <c r="O81" s="24"/>
    </row>
    <row r="82" spans="1:16" ht="14.25" x14ac:dyDescent="0.2">
      <c r="A82" s="8" t="s">
        <v>39</v>
      </c>
      <c r="B82" s="7">
        <f t="shared" ref="B82:B88" si="86">IFERROR(F82+I82+C82,0)</f>
        <v>0</v>
      </c>
      <c r="C82" s="7">
        <f t="shared" ref="C82:C88" si="87">IFERROR((F82*$C$5),0)</f>
        <v>0</v>
      </c>
      <c r="D82" s="50">
        <v>0</v>
      </c>
      <c r="E82" s="51">
        <v>0</v>
      </c>
      <c r="F82" s="7">
        <f t="shared" ref="F82:F88" si="88">IFERROR(((D82*E82)),0)</f>
        <v>0</v>
      </c>
      <c r="G82" s="50">
        <v>0</v>
      </c>
      <c r="H82" s="51">
        <v>0</v>
      </c>
      <c r="I82" s="7">
        <f t="shared" ref="I82:I88" si="89">IFERROR(G82*H82,0)</f>
        <v>0</v>
      </c>
      <c r="K82" s="7">
        <f t="shared" ref="K82:K88" si="90">B82*$K$2</f>
        <v>0</v>
      </c>
      <c r="L82" s="7">
        <f t="shared" ref="L82:L88" si="91">B82*$L$2</f>
        <v>0</v>
      </c>
      <c r="M82" s="7">
        <f t="shared" ref="M82:M88" si="92">B82*$M$2</f>
        <v>0</v>
      </c>
      <c r="N82" s="7" t="e">
        <f t="shared" ref="N82:N88" si="93">((B82/$B$91)*($B$97))</f>
        <v>#DIV/0!</v>
      </c>
      <c r="O82" s="7" t="e">
        <f t="shared" ref="O82:O88" si="94">N82+M82+L82+K82+B82</f>
        <v>#DIV/0!</v>
      </c>
    </row>
    <row r="83" spans="1:16" ht="14.25" x14ac:dyDescent="0.2">
      <c r="A83" s="8" t="s">
        <v>36</v>
      </c>
      <c r="B83" s="7">
        <f t="shared" si="86"/>
        <v>0</v>
      </c>
      <c r="C83" s="7">
        <f t="shared" si="87"/>
        <v>0</v>
      </c>
      <c r="D83" s="50">
        <v>0</v>
      </c>
      <c r="E83" s="51">
        <v>0</v>
      </c>
      <c r="F83" s="7">
        <f t="shared" si="88"/>
        <v>0</v>
      </c>
      <c r="G83" s="50">
        <v>0</v>
      </c>
      <c r="H83" s="51">
        <v>0</v>
      </c>
      <c r="I83" s="7">
        <f t="shared" si="89"/>
        <v>0</v>
      </c>
      <c r="K83" s="7">
        <f t="shared" si="90"/>
        <v>0</v>
      </c>
      <c r="L83" s="7">
        <f t="shared" si="91"/>
        <v>0</v>
      </c>
      <c r="M83" s="7">
        <f t="shared" si="92"/>
        <v>0</v>
      </c>
      <c r="N83" s="7" t="e">
        <f t="shared" si="93"/>
        <v>#DIV/0!</v>
      </c>
      <c r="O83" s="7" t="e">
        <f t="shared" si="94"/>
        <v>#DIV/0!</v>
      </c>
    </row>
    <row r="84" spans="1:16" ht="14.25" x14ac:dyDescent="0.2">
      <c r="A84" s="8" t="s">
        <v>41</v>
      </c>
      <c r="B84" s="7">
        <f t="shared" si="86"/>
        <v>0</v>
      </c>
      <c r="C84" s="7">
        <f t="shared" si="87"/>
        <v>0</v>
      </c>
      <c r="D84" s="50">
        <v>0</v>
      </c>
      <c r="E84" s="51">
        <v>0</v>
      </c>
      <c r="F84" s="7">
        <f t="shared" si="88"/>
        <v>0</v>
      </c>
      <c r="G84" s="50">
        <v>0</v>
      </c>
      <c r="H84" s="51">
        <v>0</v>
      </c>
      <c r="I84" s="7">
        <f t="shared" si="89"/>
        <v>0</v>
      </c>
      <c r="K84" s="7">
        <f t="shared" si="90"/>
        <v>0</v>
      </c>
      <c r="L84" s="7">
        <f t="shared" si="91"/>
        <v>0</v>
      </c>
      <c r="M84" s="7">
        <f t="shared" si="92"/>
        <v>0</v>
      </c>
      <c r="N84" s="7" t="e">
        <f t="shared" si="93"/>
        <v>#DIV/0!</v>
      </c>
      <c r="O84" s="7" t="e">
        <f t="shared" si="94"/>
        <v>#DIV/0!</v>
      </c>
    </row>
    <row r="85" spans="1:16" ht="14.25" x14ac:dyDescent="0.2">
      <c r="A85" s="8" t="s">
        <v>40</v>
      </c>
      <c r="B85" s="7">
        <f t="shared" si="86"/>
        <v>0</v>
      </c>
      <c r="C85" s="7">
        <f t="shared" si="87"/>
        <v>0</v>
      </c>
      <c r="D85" s="50">
        <v>0</v>
      </c>
      <c r="E85" s="51">
        <v>0</v>
      </c>
      <c r="F85" s="7">
        <f t="shared" si="88"/>
        <v>0</v>
      </c>
      <c r="G85" s="50">
        <v>0</v>
      </c>
      <c r="H85" s="51">
        <v>0</v>
      </c>
      <c r="I85" s="7">
        <f t="shared" si="89"/>
        <v>0</v>
      </c>
      <c r="K85" s="7">
        <f t="shared" si="90"/>
        <v>0</v>
      </c>
      <c r="L85" s="7">
        <f t="shared" si="91"/>
        <v>0</v>
      </c>
      <c r="M85" s="7">
        <f t="shared" si="92"/>
        <v>0</v>
      </c>
      <c r="N85" s="7" t="e">
        <f t="shared" si="93"/>
        <v>#DIV/0!</v>
      </c>
      <c r="O85" s="7" t="e">
        <f t="shared" si="94"/>
        <v>#DIV/0!</v>
      </c>
    </row>
    <row r="86" spans="1:16" ht="14.25" x14ac:dyDescent="0.2">
      <c r="A86" s="8" t="s">
        <v>42</v>
      </c>
      <c r="B86" s="7">
        <f t="shared" si="86"/>
        <v>0</v>
      </c>
      <c r="C86" s="7">
        <f t="shared" si="87"/>
        <v>0</v>
      </c>
      <c r="D86" s="50">
        <v>0</v>
      </c>
      <c r="E86" s="51">
        <v>0</v>
      </c>
      <c r="F86" s="7">
        <f t="shared" si="88"/>
        <v>0</v>
      </c>
      <c r="G86" s="50">
        <v>0</v>
      </c>
      <c r="H86" s="51">
        <v>0</v>
      </c>
      <c r="I86" s="7">
        <f t="shared" si="89"/>
        <v>0</v>
      </c>
      <c r="K86" s="7">
        <f t="shared" si="90"/>
        <v>0</v>
      </c>
      <c r="L86" s="7">
        <f t="shared" si="91"/>
        <v>0</v>
      </c>
      <c r="M86" s="7">
        <f t="shared" si="92"/>
        <v>0</v>
      </c>
      <c r="N86" s="7" t="e">
        <f t="shared" si="93"/>
        <v>#DIV/0!</v>
      </c>
      <c r="O86" s="7" t="e">
        <f t="shared" si="94"/>
        <v>#DIV/0!</v>
      </c>
    </row>
    <row r="87" spans="1:16" ht="14.25" x14ac:dyDescent="0.2">
      <c r="A87" s="8" t="s">
        <v>37</v>
      </c>
      <c r="B87" s="7">
        <f t="shared" si="86"/>
        <v>0</v>
      </c>
      <c r="C87" s="7">
        <f t="shared" si="87"/>
        <v>0</v>
      </c>
      <c r="D87" s="50">
        <v>0</v>
      </c>
      <c r="E87" s="51">
        <v>0</v>
      </c>
      <c r="F87" s="7">
        <f t="shared" si="88"/>
        <v>0</v>
      </c>
      <c r="G87" s="50">
        <v>0</v>
      </c>
      <c r="H87" s="51">
        <v>0</v>
      </c>
      <c r="I87" s="7">
        <f t="shared" si="89"/>
        <v>0</v>
      </c>
      <c r="K87" s="7">
        <f t="shared" si="90"/>
        <v>0</v>
      </c>
      <c r="L87" s="7">
        <f t="shared" si="91"/>
        <v>0</v>
      </c>
      <c r="M87" s="7">
        <f t="shared" si="92"/>
        <v>0</v>
      </c>
      <c r="N87" s="7" t="e">
        <f t="shared" si="93"/>
        <v>#DIV/0!</v>
      </c>
      <c r="O87" s="7" t="e">
        <f t="shared" si="94"/>
        <v>#DIV/0!</v>
      </c>
    </row>
    <row r="88" spans="1:16" ht="14.25" x14ac:dyDescent="0.2">
      <c r="A88" s="8" t="s">
        <v>38</v>
      </c>
      <c r="B88" s="7">
        <f t="shared" si="86"/>
        <v>0</v>
      </c>
      <c r="C88" s="7">
        <f t="shared" si="87"/>
        <v>0</v>
      </c>
      <c r="D88" s="50">
        <v>0</v>
      </c>
      <c r="E88" s="51">
        <v>0</v>
      </c>
      <c r="F88" s="7">
        <f t="shared" si="88"/>
        <v>0</v>
      </c>
      <c r="G88" s="50">
        <v>0</v>
      </c>
      <c r="H88" s="51">
        <v>0</v>
      </c>
      <c r="I88" s="7">
        <f t="shared" si="89"/>
        <v>0</v>
      </c>
      <c r="K88" s="7">
        <f t="shared" si="90"/>
        <v>0</v>
      </c>
      <c r="L88" s="7">
        <f t="shared" si="91"/>
        <v>0</v>
      </c>
      <c r="M88" s="7">
        <f t="shared" si="92"/>
        <v>0</v>
      </c>
      <c r="N88" s="7" t="e">
        <f t="shared" si="93"/>
        <v>#DIV/0!</v>
      </c>
      <c r="O88" s="7" t="e">
        <f t="shared" si="94"/>
        <v>#DIV/0!</v>
      </c>
    </row>
    <row r="89" spans="1:16" ht="15" x14ac:dyDescent="0.25">
      <c r="A89" s="120" t="s">
        <v>309</v>
      </c>
      <c r="B89" s="4">
        <f>SUM(B82:B88)</f>
        <v>0</v>
      </c>
      <c r="C89" s="4">
        <f>SUM(C82:C88)</f>
        <v>0</v>
      </c>
      <c r="D89" s="121"/>
      <c r="E89" s="4">
        <f>SUM(E82:E88)</f>
        <v>0</v>
      </c>
      <c r="F89" s="4">
        <f>SUM(F82:F88)</f>
        <v>0</v>
      </c>
      <c r="G89" s="121"/>
      <c r="H89" s="4">
        <f>SUM(H82:H88)</f>
        <v>0</v>
      </c>
      <c r="I89" s="4">
        <f>SUM(I82:I88)</f>
        <v>0</v>
      </c>
      <c r="K89" s="4">
        <f>SUM(K82:K88)</f>
        <v>0</v>
      </c>
      <c r="L89" s="4">
        <f>SUM(L82:L88)</f>
        <v>0</v>
      </c>
      <c r="M89" s="4">
        <f>SUM(M82:M88)</f>
        <v>0</v>
      </c>
      <c r="N89" s="4" t="e">
        <f>SUM(N82:N88)</f>
        <v>#DIV/0!</v>
      </c>
      <c r="O89" s="4" t="e">
        <f>SUM(O82:O88)</f>
        <v>#DIV/0!</v>
      </c>
    </row>
    <row r="90" spans="1:16" x14ac:dyDescent="0.2">
      <c r="H90" s="77"/>
      <c r="I90" s="24"/>
      <c r="K90" s="24"/>
      <c r="L90" s="24"/>
      <c r="M90" s="24"/>
      <c r="N90" s="24"/>
      <c r="O90" s="24"/>
    </row>
    <row r="91" spans="1:16" ht="15" x14ac:dyDescent="0.25">
      <c r="A91" s="8" t="s">
        <v>43</v>
      </c>
      <c r="B91" s="78">
        <f>C91+F91+I91</f>
        <v>0</v>
      </c>
      <c r="C91" s="78">
        <f>C89+C79+C51+C41+C27+C17+C58+C60+C3+C70+C36</f>
        <v>0</v>
      </c>
      <c r="E91" s="5"/>
      <c r="F91" s="78">
        <f>F89+F79+F51+F41+F27+F17+F58+F60+F3+F70+F36</f>
        <v>0</v>
      </c>
      <c r="H91" s="2"/>
      <c r="I91" s="78">
        <f>I89+I79+I51+I41+I27+I17+I58+I60+I3+I70+I36</f>
        <v>0</v>
      </c>
      <c r="K91" s="78">
        <f>K89+K79+K51+K41+K27+K17+K58+K60+K3+K36+K70</f>
        <v>0</v>
      </c>
      <c r="L91" s="78">
        <f>L89+L79+L51+L41+L27+L17+L58+L60+L3+L36+L70</f>
        <v>0</v>
      </c>
      <c r="M91" s="78">
        <f>M89+M79+M51+M41+M27+M17+M58+M60+M3+M36+M70</f>
        <v>0</v>
      </c>
      <c r="N91" s="78" t="e">
        <f>N89+N79+N51+N41+N27+N17+N58+N60+N3+N36+N70</f>
        <v>#DIV/0!</v>
      </c>
      <c r="O91" s="78" t="e">
        <f>O89+O79+O51+O41+O27+O17+O58+O60+O3+O36+O70</f>
        <v>#DIV/0!</v>
      </c>
      <c r="P91" s="142"/>
    </row>
    <row r="93" spans="1:16" ht="15" x14ac:dyDescent="0.25">
      <c r="A93" s="120" t="s">
        <v>336</v>
      </c>
      <c r="M93" s="24"/>
    </row>
    <row r="94" spans="1:16" ht="15" x14ac:dyDescent="0.25">
      <c r="A94" s="8" t="s">
        <v>19</v>
      </c>
      <c r="B94" s="7">
        <f>IFERROR(F94+I94+C94,0)</f>
        <v>3300</v>
      </c>
      <c r="C94" s="7">
        <f>IFERROR((F94*$C$5),0)</f>
        <v>0</v>
      </c>
      <c r="D94" s="50">
        <v>0</v>
      </c>
      <c r="E94" s="51">
        <v>0</v>
      </c>
      <c r="F94" s="7">
        <f>IFERROR(((D94*E94)),0)</f>
        <v>0</v>
      </c>
      <c r="G94" s="50">
        <v>60</v>
      </c>
      <c r="H94" s="51">
        <v>55</v>
      </c>
      <c r="I94" s="4">
        <f>IFERROR(G94*H94,0)</f>
        <v>3300</v>
      </c>
      <c r="K94" s="7"/>
      <c r="L94" s="7"/>
      <c r="M94" s="7"/>
      <c r="N94" s="4"/>
      <c r="O94" s="4"/>
    </row>
    <row r="95" spans="1:16" ht="15" x14ac:dyDescent="0.25">
      <c r="A95" s="8" t="s">
        <v>44</v>
      </c>
      <c r="B95" s="7">
        <f t="shared" ref="B95:B96" si="95">IFERROR(F95+I95+C95,0)</f>
        <v>2500</v>
      </c>
      <c r="C95" s="7">
        <f>IFERROR((F95*$C$5),0)</f>
        <v>0</v>
      </c>
      <c r="D95" s="50">
        <v>0</v>
      </c>
      <c r="E95" s="51">
        <v>0</v>
      </c>
      <c r="F95" s="7">
        <f t="shared" ref="F95:F96" si="96">IFERROR(((D95*E95)),0)</f>
        <v>0</v>
      </c>
      <c r="G95" s="50">
        <v>1</v>
      </c>
      <c r="H95" s="51">
        <v>2500</v>
      </c>
      <c r="I95" s="4">
        <f t="shared" ref="I95:I96" si="97">IFERROR(G95*H95,0)</f>
        <v>2500</v>
      </c>
      <c r="N95" s="4"/>
      <c r="O95" s="4"/>
    </row>
    <row r="96" spans="1:16" ht="15" x14ac:dyDescent="0.25">
      <c r="A96" s="8" t="s">
        <v>197</v>
      </c>
      <c r="B96" s="7">
        <f t="shared" si="95"/>
        <v>2500</v>
      </c>
      <c r="C96" s="7">
        <f>IFERROR((F96*$C$5),0)</f>
        <v>0</v>
      </c>
      <c r="D96" s="50">
        <v>0</v>
      </c>
      <c r="E96" s="51">
        <v>0</v>
      </c>
      <c r="F96" s="7">
        <f t="shared" si="96"/>
        <v>0</v>
      </c>
      <c r="G96" s="50">
        <v>1</v>
      </c>
      <c r="H96" s="51">
        <v>2500</v>
      </c>
      <c r="I96" s="4">
        <f t="shared" si="97"/>
        <v>2500</v>
      </c>
      <c r="N96" s="4"/>
      <c r="O96" s="4"/>
    </row>
    <row r="97" spans="1:15" ht="15" x14ac:dyDescent="0.25">
      <c r="B97" s="4">
        <f>SUM(B94:B96)</f>
        <v>8300</v>
      </c>
      <c r="C97" s="29"/>
      <c r="D97" s="121"/>
      <c r="E97" s="4">
        <f>SUM(E94:E96)</f>
        <v>0</v>
      </c>
      <c r="F97" s="4">
        <f>SUM(F94:F96)</f>
        <v>0</v>
      </c>
      <c r="G97" s="121"/>
      <c r="H97" s="4">
        <f>SUM(H94:H96)</f>
        <v>5055</v>
      </c>
      <c r="I97" s="4">
        <f>SUM(I94:I96)</f>
        <v>8300</v>
      </c>
      <c r="N97" s="4"/>
      <c r="O97" s="4"/>
    </row>
    <row r="98" spans="1:15" x14ac:dyDescent="0.2">
      <c r="B98" s="24"/>
      <c r="N98" s="24"/>
      <c r="O98" s="24"/>
    </row>
    <row r="99" spans="1:15" ht="14.25" x14ac:dyDescent="0.2">
      <c r="A99" s="8"/>
      <c r="B99" s="7"/>
      <c r="C99" s="7"/>
    </row>
    <row r="100" spans="1:15" ht="14.25" x14ac:dyDescent="0.2">
      <c r="A100" s="8" t="s">
        <v>45</v>
      </c>
      <c r="B100" s="7">
        <f>K91</f>
        <v>0</v>
      </c>
      <c r="D100" s="81">
        <v>0.02</v>
      </c>
    </row>
    <row r="101" spans="1:15" ht="15" x14ac:dyDescent="0.25">
      <c r="A101" s="8" t="s">
        <v>46</v>
      </c>
      <c r="B101" s="4">
        <f>L91</f>
        <v>0</v>
      </c>
      <c r="D101" s="80">
        <v>0.15</v>
      </c>
    </row>
    <row r="102" spans="1:15" ht="14.25" x14ac:dyDescent="0.2">
      <c r="A102" s="8"/>
      <c r="B102" s="7"/>
      <c r="D102" s="9"/>
    </row>
    <row r="103" spans="1:15" ht="15" x14ac:dyDescent="0.25">
      <c r="A103" s="8" t="s">
        <v>49</v>
      </c>
      <c r="B103" s="4">
        <f>B101+B100+B97+B91</f>
        <v>8300</v>
      </c>
      <c r="D103" s="9"/>
    </row>
    <row r="104" spans="1:15" ht="14.25" x14ac:dyDescent="0.2">
      <c r="A104" s="8" t="s">
        <v>47</v>
      </c>
      <c r="B104" s="7">
        <f>M91</f>
        <v>0</v>
      </c>
      <c r="D104" s="80">
        <v>0.08</v>
      </c>
    </row>
    <row r="105" spans="1:15" ht="15" x14ac:dyDescent="0.25">
      <c r="A105" s="79" t="s">
        <v>50</v>
      </c>
      <c r="B105" s="143">
        <f>B103+B104</f>
        <v>8300</v>
      </c>
      <c r="C105" s="9"/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B98C2-6E4E-4AF8-AC62-6A12835E8025}">
  <sheetPr>
    <outlinePr summaryBelow="0" summaryRight="0"/>
  </sheetPr>
  <dimension ref="A1:H40"/>
  <sheetViews>
    <sheetView view="pageLayout" topLeftCell="A10" zoomScale="85" zoomScaleNormal="100" zoomScalePageLayoutView="85" workbookViewId="0">
      <selection activeCell="A13" sqref="A13:C13"/>
    </sheetView>
  </sheetViews>
  <sheetFormatPr defaultColWidth="14.42578125" defaultRowHeight="15.75" customHeight="1" x14ac:dyDescent="0.2"/>
  <cols>
    <col min="1" max="1" width="37.7109375" style="54" customWidth="1"/>
    <col min="2" max="2" width="11.42578125" style="54" customWidth="1"/>
    <col min="3" max="4" width="21" style="54" customWidth="1"/>
    <col min="5" max="5" width="37.7109375" style="54" customWidth="1"/>
    <col min="6" max="6" width="11.42578125" style="54" customWidth="1"/>
    <col min="7" max="8" width="21" style="54" customWidth="1"/>
    <col min="9" max="16384" width="14.42578125" style="54"/>
  </cols>
  <sheetData>
    <row r="1" spans="1:8" ht="19.5" x14ac:dyDescent="0.2">
      <c r="A1" s="115" t="s">
        <v>266</v>
      </c>
      <c r="B1" s="116"/>
      <c r="C1" s="115" t="s">
        <v>267</v>
      </c>
      <c r="D1" s="139">
        <v>6009</v>
      </c>
      <c r="E1" s="115" t="str">
        <f>A1</f>
        <v>GC License (B) 1066940</v>
      </c>
      <c r="F1" s="116"/>
      <c r="G1" s="115" t="str">
        <f>C1</f>
        <v>BID No.:</v>
      </c>
      <c r="H1" s="139">
        <f>D1</f>
        <v>6009</v>
      </c>
    </row>
    <row r="2" spans="1:8" ht="21" x14ac:dyDescent="0.2">
      <c r="A2" s="118" t="s">
        <v>0</v>
      </c>
      <c r="B2" s="117"/>
      <c r="C2" s="115" t="s">
        <v>1</v>
      </c>
      <c r="D2" s="141">
        <v>44144</v>
      </c>
      <c r="E2" s="118" t="str">
        <f t="shared" ref="E2:E8" si="0">A2</f>
        <v>www.renovabuilt.com</v>
      </c>
      <c r="F2" s="117"/>
      <c r="G2" s="115" t="str">
        <f t="shared" ref="G2:G7" si="1">C2</f>
        <v xml:space="preserve">Date: </v>
      </c>
      <c r="H2" s="141">
        <f>D2</f>
        <v>44144</v>
      </c>
    </row>
    <row r="3" spans="1:8" ht="18.75" x14ac:dyDescent="0.2">
      <c r="A3" s="116"/>
      <c r="B3" s="117"/>
      <c r="C3" s="117"/>
      <c r="D3" s="117"/>
      <c r="E3" s="116"/>
      <c r="F3" s="117"/>
      <c r="G3" s="117"/>
      <c r="H3" s="117"/>
    </row>
    <row r="4" spans="1:8" ht="19.5" customHeight="1" x14ac:dyDescent="0.2">
      <c r="A4" s="115" t="s">
        <v>258</v>
      </c>
      <c r="B4" s="117"/>
      <c r="C4" s="115" t="s">
        <v>264</v>
      </c>
      <c r="D4" s="139" t="s">
        <v>331</v>
      </c>
      <c r="E4" s="115" t="str">
        <f t="shared" si="0"/>
        <v>Renova Construction</v>
      </c>
      <c r="F4" s="117"/>
      <c r="G4" s="115" t="str">
        <f t="shared" si="1"/>
        <v>Owner:</v>
      </c>
      <c r="H4" s="139" t="str">
        <f>D4</f>
        <v xml:space="preserve">Gustavo </v>
      </c>
    </row>
    <row r="5" spans="1:8" ht="19.5" customHeight="1" x14ac:dyDescent="0.2">
      <c r="A5" s="117" t="s">
        <v>300</v>
      </c>
      <c r="B5" s="117"/>
      <c r="C5" s="117" t="s">
        <v>260</v>
      </c>
      <c r="D5" s="139" t="s">
        <v>329</v>
      </c>
      <c r="E5" s="117" t="str">
        <f t="shared" si="0"/>
        <v>136 Doyle St</v>
      </c>
      <c r="F5" s="117"/>
      <c r="G5" s="117" t="str">
        <f t="shared" si="1"/>
        <v>Phone:</v>
      </c>
      <c r="H5" s="140" t="str">
        <f>IF(D5=0," ",D5)</f>
        <v>650-483-8890</v>
      </c>
    </row>
    <row r="6" spans="1:8" ht="19.5" customHeight="1" x14ac:dyDescent="0.2">
      <c r="A6" s="117" t="s">
        <v>2</v>
      </c>
      <c r="B6" s="117"/>
      <c r="C6" s="117" t="s">
        <v>261</v>
      </c>
      <c r="D6" s="139"/>
      <c r="E6" s="117" t="str">
        <f t="shared" si="0"/>
        <v>Santa Cruz, CA 95062</v>
      </c>
      <c r="F6" s="117"/>
      <c r="G6" s="117" t="str">
        <f t="shared" si="1"/>
        <v>Email:</v>
      </c>
      <c r="H6" s="140" t="str">
        <f>IF(D6=0," ",D6)</f>
        <v xml:space="preserve"> </v>
      </c>
    </row>
    <row r="7" spans="1:8" ht="19.5" customHeight="1" x14ac:dyDescent="0.2">
      <c r="A7" s="117" t="s">
        <v>259</v>
      </c>
      <c r="B7" s="117"/>
      <c r="C7" s="117" t="s">
        <v>262</v>
      </c>
      <c r="D7" s="148" t="s">
        <v>332</v>
      </c>
      <c r="E7" s="117" t="str">
        <f t="shared" si="0"/>
        <v>(831) 264-7982</v>
      </c>
      <c r="F7" s="117"/>
      <c r="G7" s="117" t="str">
        <f t="shared" si="1"/>
        <v>Site Address:</v>
      </c>
      <c r="H7" s="148" t="str">
        <f>D7</f>
        <v>923 Tamarack Ln #9, Sunnyvale, CA</v>
      </c>
    </row>
    <row r="8" spans="1:8" ht="19.5" customHeight="1" x14ac:dyDescent="0.2">
      <c r="A8" s="117" t="s">
        <v>3</v>
      </c>
      <c r="B8" s="117"/>
      <c r="C8" s="117"/>
      <c r="D8" s="148"/>
      <c r="E8" s="117" t="str">
        <f t="shared" si="0"/>
        <v>estimates@renovabuilt.com</v>
      </c>
      <c r="F8" s="117"/>
      <c r="G8" s="117"/>
      <c r="H8" s="148"/>
    </row>
    <row r="9" spans="1:8" ht="19.5" customHeight="1" x14ac:dyDescent="0.2">
      <c r="A9" s="149" t="s">
        <v>334</v>
      </c>
      <c r="B9" s="149"/>
      <c r="C9" s="149"/>
      <c r="D9" s="149"/>
      <c r="E9" s="149" t="s">
        <v>333</v>
      </c>
      <c r="F9" s="149"/>
      <c r="G9" s="149"/>
      <c r="H9" s="149"/>
    </row>
    <row r="10" spans="1:8" ht="19.5" customHeight="1" x14ac:dyDescent="0.2">
      <c r="A10" s="149"/>
      <c r="B10" s="149"/>
      <c r="C10" s="149"/>
      <c r="D10" s="149"/>
      <c r="E10" s="149"/>
      <c r="F10" s="149"/>
      <c r="G10" s="149"/>
      <c r="H10" s="149"/>
    </row>
    <row r="11" spans="1:8" ht="19.5" customHeight="1" x14ac:dyDescent="0.2">
      <c r="A11" s="107" t="s">
        <v>263</v>
      </c>
      <c r="B11" s="107"/>
      <c r="C11" s="107"/>
      <c r="D11" s="107" t="s">
        <v>4</v>
      </c>
      <c r="E11" s="150" t="s">
        <v>347</v>
      </c>
      <c r="F11" s="150"/>
      <c r="G11" s="150"/>
      <c r="H11" s="150"/>
    </row>
    <row r="12" spans="1:8" ht="18" customHeight="1" x14ac:dyDescent="0.2">
      <c r="A12" s="144" t="s">
        <v>348</v>
      </c>
      <c r="B12" s="145"/>
      <c r="C12" s="146"/>
      <c r="D12" s="136">
        <f>'Bid Underwriting'!B105</f>
        <v>8300</v>
      </c>
      <c r="E12" s="150"/>
      <c r="F12" s="150"/>
      <c r="G12" s="150"/>
      <c r="H12" s="150"/>
    </row>
    <row r="13" spans="1:8" ht="18" customHeight="1" x14ac:dyDescent="0.2">
      <c r="A13" s="144"/>
      <c r="B13" s="145"/>
      <c r="C13" s="146"/>
      <c r="D13" s="136"/>
      <c r="E13" s="150"/>
      <c r="F13" s="150"/>
      <c r="G13" s="150"/>
      <c r="H13" s="150"/>
    </row>
    <row r="14" spans="1:8" ht="18" customHeight="1" x14ac:dyDescent="0.2">
      <c r="A14" s="144"/>
      <c r="B14" s="145"/>
      <c r="C14" s="146"/>
      <c r="D14" s="136"/>
      <c r="E14" s="150"/>
      <c r="F14" s="150"/>
      <c r="G14" s="150"/>
      <c r="H14" s="150"/>
    </row>
    <row r="15" spans="1:8" ht="18" customHeight="1" x14ac:dyDescent="0.2">
      <c r="A15" s="144"/>
      <c r="B15" s="145"/>
      <c r="C15" s="146"/>
      <c r="D15" s="136"/>
      <c r="E15" s="150"/>
      <c r="F15" s="150"/>
      <c r="G15" s="150"/>
      <c r="H15" s="150"/>
    </row>
    <row r="16" spans="1:8" ht="18" customHeight="1" x14ac:dyDescent="0.2">
      <c r="A16" s="144"/>
      <c r="B16" s="145"/>
      <c r="C16" s="146"/>
      <c r="D16" s="136"/>
      <c r="E16" s="150"/>
      <c r="F16" s="150"/>
      <c r="G16" s="150"/>
      <c r="H16" s="150"/>
    </row>
    <row r="17" spans="1:8" ht="18" customHeight="1" x14ac:dyDescent="0.2">
      <c r="A17" s="144"/>
      <c r="B17" s="145"/>
      <c r="C17" s="146"/>
      <c r="D17" s="136"/>
      <c r="E17" s="150"/>
      <c r="F17" s="150"/>
      <c r="G17" s="150"/>
      <c r="H17" s="150"/>
    </row>
    <row r="18" spans="1:8" ht="18" customHeight="1" x14ac:dyDescent="0.2">
      <c r="A18" s="144"/>
      <c r="B18" s="145"/>
      <c r="C18" s="146"/>
      <c r="D18" s="136"/>
      <c r="E18" s="150"/>
      <c r="F18" s="150"/>
      <c r="G18" s="150"/>
      <c r="H18" s="150"/>
    </row>
    <row r="19" spans="1:8" ht="18" customHeight="1" x14ac:dyDescent="0.2">
      <c r="A19" s="144"/>
      <c r="B19" s="145"/>
      <c r="C19" s="146"/>
      <c r="D19" s="136"/>
      <c r="E19" s="150"/>
      <c r="F19" s="150"/>
      <c r="G19" s="150"/>
      <c r="H19" s="150"/>
    </row>
    <row r="20" spans="1:8" ht="18" customHeight="1" x14ac:dyDescent="0.2">
      <c r="A20" s="144"/>
      <c r="B20" s="145"/>
      <c r="C20" s="146"/>
      <c r="D20" s="136"/>
      <c r="E20" s="150"/>
      <c r="F20" s="150"/>
      <c r="G20" s="150"/>
      <c r="H20" s="150"/>
    </row>
    <row r="21" spans="1:8" ht="18" customHeight="1" x14ac:dyDescent="0.2">
      <c r="A21" s="144"/>
      <c r="B21" s="145"/>
      <c r="C21" s="146"/>
      <c r="D21" s="136"/>
      <c r="E21" s="150"/>
      <c r="F21" s="150"/>
      <c r="G21" s="150"/>
      <c r="H21" s="150"/>
    </row>
    <row r="22" spans="1:8" ht="19.5" customHeight="1" x14ac:dyDescent="0.2">
      <c r="A22" s="107" t="s">
        <v>5</v>
      </c>
      <c r="B22" s="107"/>
      <c r="C22" s="107"/>
      <c r="D22" s="109">
        <v>0</v>
      </c>
      <c r="E22" s="150"/>
      <c r="F22" s="150"/>
      <c r="G22" s="150"/>
      <c r="H22" s="150"/>
    </row>
    <row r="23" spans="1:8" ht="19.5" customHeight="1" x14ac:dyDescent="0.2">
      <c r="A23" s="107" t="s">
        <v>6</v>
      </c>
      <c r="B23" s="108"/>
      <c r="C23" s="108"/>
      <c r="D23" s="110">
        <f>SUM(D12:D21)+D22</f>
        <v>8300</v>
      </c>
      <c r="E23" s="150"/>
      <c r="F23" s="150"/>
      <c r="G23" s="150"/>
      <c r="H23" s="150"/>
    </row>
    <row r="24" spans="1:8" ht="15.75" customHeight="1" x14ac:dyDescent="0.2">
      <c r="A24" s="111"/>
      <c r="B24" s="111"/>
      <c r="C24" s="111"/>
      <c r="D24" s="111"/>
      <c r="E24" s="150"/>
      <c r="F24" s="150"/>
      <c r="G24" s="150"/>
      <c r="H24" s="150"/>
    </row>
    <row r="25" spans="1:8" ht="15.75" customHeight="1" x14ac:dyDescent="0.2">
      <c r="A25" s="111"/>
      <c r="B25" s="111"/>
      <c r="C25" s="111"/>
      <c r="D25" s="111"/>
      <c r="E25" s="150"/>
      <c r="F25" s="150"/>
      <c r="G25" s="150"/>
      <c r="H25" s="150"/>
    </row>
    <row r="26" spans="1:8" ht="15.75" customHeight="1" thickBot="1" x14ac:dyDescent="0.25">
      <c r="A26" s="112" t="s">
        <v>265</v>
      </c>
      <c r="B26" s="111"/>
      <c r="C26" s="111"/>
      <c r="D26" s="111"/>
      <c r="E26" s="150"/>
      <c r="F26" s="150"/>
      <c r="G26" s="150"/>
      <c r="H26" s="150"/>
    </row>
    <row r="27" spans="1:8" ht="15.75" customHeight="1" x14ac:dyDescent="0.2">
      <c r="A27" s="111" t="str">
        <f>"by: "&amp;(D4)</f>
        <v xml:space="preserve">by: Gustavo </v>
      </c>
      <c r="B27" s="111"/>
      <c r="C27" s="111"/>
      <c r="D27" s="111"/>
      <c r="E27" s="150"/>
      <c r="F27" s="150"/>
      <c r="G27" s="150"/>
      <c r="H27" s="150"/>
    </row>
    <row r="28" spans="1:8" ht="15.75" customHeight="1" x14ac:dyDescent="0.2">
      <c r="A28" s="111"/>
      <c r="B28" s="111"/>
      <c r="C28" s="111"/>
      <c r="D28" s="111"/>
      <c r="E28" s="150"/>
      <c r="F28" s="150"/>
      <c r="G28" s="150"/>
      <c r="H28" s="150"/>
    </row>
    <row r="29" spans="1:8" ht="15.75" customHeight="1" x14ac:dyDescent="0.2">
      <c r="A29" s="147" t="s">
        <v>330</v>
      </c>
      <c r="B29" s="147"/>
      <c r="C29" s="147"/>
      <c r="D29" s="147"/>
      <c r="E29" s="150"/>
      <c r="F29" s="150"/>
      <c r="G29" s="150"/>
      <c r="H29" s="150"/>
    </row>
    <row r="30" spans="1:8" ht="15.75" customHeight="1" x14ac:dyDescent="0.2">
      <c r="A30" s="147"/>
      <c r="B30" s="147"/>
      <c r="C30" s="147"/>
      <c r="D30" s="147"/>
      <c r="E30" s="150"/>
      <c r="F30" s="150"/>
      <c r="G30" s="150"/>
      <c r="H30" s="150"/>
    </row>
    <row r="31" spans="1:8" ht="15.75" customHeight="1" x14ac:dyDescent="0.2">
      <c r="A31" s="147"/>
      <c r="B31" s="147"/>
      <c r="C31" s="147"/>
      <c r="D31" s="147"/>
      <c r="E31" s="150"/>
      <c r="F31" s="150"/>
      <c r="G31" s="150"/>
      <c r="H31" s="150"/>
    </row>
    <row r="32" spans="1:8" ht="15.75" customHeight="1" x14ac:dyDescent="0.2">
      <c r="A32" s="147"/>
      <c r="B32" s="147"/>
      <c r="C32" s="147"/>
      <c r="D32" s="147"/>
      <c r="E32" s="150"/>
      <c r="F32" s="150"/>
      <c r="G32" s="150"/>
      <c r="H32" s="150"/>
    </row>
    <row r="33" spans="1:8" ht="15.75" customHeight="1" x14ac:dyDescent="0.2">
      <c r="A33" s="147"/>
      <c r="B33" s="147"/>
      <c r="C33" s="147"/>
      <c r="D33" s="147"/>
      <c r="E33" s="150"/>
      <c r="F33" s="150"/>
      <c r="G33" s="150"/>
      <c r="H33" s="150"/>
    </row>
    <row r="34" spans="1:8" ht="15.75" customHeight="1" x14ac:dyDescent="0.2">
      <c r="A34" s="147"/>
      <c r="B34" s="147"/>
      <c r="C34" s="147"/>
      <c r="D34" s="147"/>
      <c r="E34" s="150"/>
      <c r="F34" s="150"/>
      <c r="G34" s="150"/>
      <c r="H34" s="150"/>
    </row>
    <row r="35" spans="1:8" ht="15.75" customHeight="1" x14ac:dyDescent="0.2">
      <c r="A35" s="113"/>
      <c r="E35" s="150"/>
      <c r="F35" s="150"/>
      <c r="G35" s="150"/>
      <c r="H35" s="150"/>
    </row>
    <row r="36" spans="1:8" ht="15.75" customHeight="1" x14ac:dyDescent="0.2">
      <c r="E36" s="150"/>
      <c r="F36" s="150"/>
      <c r="G36" s="150"/>
      <c r="H36" s="150"/>
    </row>
    <row r="37" spans="1:8" ht="15.75" customHeight="1" x14ac:dyDescent="0.2">
      <c r="E37" s="150"/>
      <c r="F37" s="150"/>
      <c r="G37" s="150"/>
      <c r="H37" s="150"/>
    </row>
    <row r="38" spans="1:8" ht="15.75" customHeight="1" x14ac:dyDescent="0.2">
      <c r="E38" s="150"/>
      <c r="F38" s="150"/>
      <c r="G38" s="150"/>
      <c r="H38" s="150"/>
    </row>
    <row r="39" spans="1:8" ht="15.75" customHeight="1" x14ac:dyDescent="0.2">
      <c r="E39" s="150"/>
      <c r="F39" s="150"/>
      <c r="G39" s="150"/>
      <c r="H39" s="150"/>
    </row>
    <row r="40" spans="1:8" ht="15.75" customHeight="1" x14ac:dyDescent="0.2">
      <c r="E40" s="150"/>
      <c r="F40" s="150"/>
      <c r="G40" s="150"/>
      <c r="H40" s="150"/>
    </row>
  </sheetData>
  <mergeCells count="16">
    <mergeCell ref="A29:D34"/>
    <mergeCell ref="D7:D8"/>
    <mergeCell ref="H7:H8"/>
    <mergeCell ref="A9:D10"/>
    <mergeCell ref="E9:H10"/>
    <mergeCell ref="E11:H40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</mergeCells>
  <hyperlinks>
    <hyperlink ref="A2" r:id="rId1" xr:uid="{5E15D651-BD0D-4DA2-8438-9E50DFEEFE4A}"/>
  </hyperlinks>
  <pageMargins left="0.7" right="0.7" top="0.75" bottom="0.75" header="0.3" footer="0.3"/>
  <pageSetup orientation="portrait" r:id="rId2"/>
  <headerFooter>
    <oddHeader xml:space="preserve">&amp;C&amp;"Acier BAT Text Gris,Regular"&amp;25&amp;KC99864Renova Construction&amp;R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2190A-61E3-49E9-BEA2-D91D8604DBE1}">
  <sheetPr>
    <outlinePr summaryBelow="0" summaryRight="0"/>
  </sheetPr>
  <dimension ref="A1:H40"/>
  <sheetViews>
    <sheetView view="pageLayout" topLeftCell="A7" zoomScale="85" zoomScaleNormal="100" zoomScalePageLayoutView="85" workbookViewId="0">
      <selection activeCell="D6" sqref="D6"/>
    </sheetView>
  </sheetViews>
  <sheetFormatPr defaultColWidth="14.42578125" defaultRowHeight="15.75" customHeight="1" x14ac:dyDescent="0.2"/>
  <cols>
    <col min="1" max="1" width="37.7109375" style="54" customWidth="1"/>
    <col min="2" max="2" width="11.42578125" style="54" customWidth="1"/>
    <col min="3" max="4" width="21" style="54" customWidth="1"/>
    <col min="5" max="5" width="37.7109375" style="54" customWidth="1"/>
    <col min="6" max="6" width="11.42578125" style="54" customWidth="1"/>
    <col min="7" max="8" width="21" style="54" customWidth="1"/>
    <col min="9" max="16384" width="14.42578125" style="54"/>
  </cols>
  <sheetData>
    <row r="1" spans="1:8" ht="19.5" x14ac:dyDescent="0.2">
      <c r="A1" s="115" t="s">
        <v>266</v>
      </c>
      <c r="B1" s="116"/>
      <c r="C1" s="115" t="s">
        <v>267</v>
      </c>
      <c r="D1" s="139">
        <v>6009</v>
      </c>
      <c r="E1" s="115" t="str">
        <f>A1</f>
        <v>GC License (B) 1066940</v>
      </c>
      <c r="F1" s="116"/>
      <c r="G1" s="115" t="str">
        <f>C1</f>
        <v>BID No.:</v>
      </c>
      <c r="H1" s="139">
        <f>D1</f>
        <v>6009</v>
      </c>
    </row>
    <row r="2" spans="1:8" ht="21" x14ac:dyDescent="0.2">
      <c r="A2" s="118" t="s">
        <v>0</v>
      </c>
      <c r="B2" s="117"/>
      <c r="C2" s="115" t="s">
        <v>1</v>
      </c>
      <c r="D2" s="141">
        <v>44144</v>
      </c>
      <c r="E2" s="118" t="str">
        <f t="shared" ref="E2:E8" si="0">A2</f>
        <v>www.renovabuilt.com</v>
      </c>
      <c r="F2" s="117"/>
      <c r="G2" s="115" t="str">
        <f t="shared" ref="G2:G7" si="1">C2</f>
        <v xml:space="preserve">Date: </v>
      </c>
      <c r="H2" s="141">
        <f>D2</f>
        <v>44144</v>
      </c>
    </row>
    <row r="3" spans="1:8" ht="18.75" x14ac:dyDescent="0.2">
      <c r="A3" s="116"/>
      <c r="B3" s="117"/>
      <c r="C3" s="117"/>
      <c r="D3" s="117"/>
      <c r="E3" s="116"/>
      <c r="F3" s="117"/>
      <c r="G3" s="117"/>
      <c r="H3" s="117"/>
    </row>
    <row r="4" spans="1:8" ht="19.5" customHeight="1" x14ac:dyDescent="0.2">
      <c r="A4" s="115" t="s">
        <v>258</v>
      </c>
      <c r="B4" s="117"/>
      <c r="C4" s="115" t="s">
        <v>264</v>
      </c>
      <c r="D4" s="139" t="s">
        <v>331</v>
      </c>
      <c r="E4" s="115" t="str">
        <f t="shared" si="0"/>
        <v>Renova Construction</v>
      </c>
      <c r="F4" s="117"/>
      <c r="G4" s="115" t="str">
        <f t="shared" si="1"/>
        <v>Owner:</v>
      </c>
      <c r="H4" s="140" t="str">
        <f>IF(D4=0," ",D4)</f>
        <v xml:space="preserve">Gustavo </v>
      </c>
    </row>
    <row r="5" spans="1:8" ht="19.5" customHeight="1" x14ac:dyDescent="0.2">
      <c r="A5" s="117" t="s">
        <v>300</v>
      </c>
      <c r="B5" s="117"/>
      <c r="C5" s="117" t="s">
        <v>260</v>
      </c>
      <c r="D5" s="139" t="s">
        <v>329</v>
      </c>
      <c r="E5" s="117" t="str">
        <f t="shared" si="0"/>
        <v>136 Doyle St</v>
      </c>
      <c r="F5" s="117"/>
      <c r="G5" s="117" t="str">
        <f t="shared" si="1"/>
        <v>Phone:</v>
      </c>
      <c r="H5" s="140" t="str">
        <f>IF(D5=0," ",D5)</f>
        <v>650-483-8890</v>
      </c>
    </row>
    <row r="6" spans="1:8" ht="19.5" customHeight="1" x14ac:dyDescent="0.2">
      <c r="A6" s="117" t="s">
        <v>2</v>
      </c>
      <c r="B6" s="117"/>
      <c r="C6" s="117" t="s">
        <v>261</v>
      </c>
      <c r="D6" s="139"/>
      <c r="E6" s="117" t="str">
        <f t="shared" si="0"/>
        <v>Santa Cruz, CA 95062</v>
      </c>
      <c r="F6" s="117"/>
      <c r="G6" s="117" t="str">
        <f t="shared" si="1"/>
        <v>Email:</v>
      </c>
      <c r="H6" s="140" t="str">
        <f>IF(D6=0," ",D6)</f>
        <v xml:space="preserve"> </v>
      </c>
    </row>
    <row r="7" spans="1:8" ht="19.5" customHeight="1" x14ac:dyDescent="0.2">
      <c r="A7" s="117" t="s">
        <v>259</v>
      </c>
      <c r="B7" s="117"/>
      <c r="C7" s="117" t="s">
        <v>262</v>
      </c>
      <c r="D7" s="148" t="s">
        <v>332</v>
      </c>
      <c r="E7" s="117" t="str">
        <f t="shared" si="0"/>
        <v>(831) 264-7982</v>
      </c>
      <c r="F7" s="117"/>
      <c r="G7" s="117" t="str">
        <f t="shared" si="1"/>
        <v>Site Address:</v>
      </c>
      <c r="H7" s="148" t="str">
        <f>D7</f>
        <v>923 Tamarack Ln #9, Sunnyvale, CA</v>
      </c>
    </row>
    <row r="8" spans="1:8" ht="19.5" customHeight="1" x14ac:dyDescent="0.2">
      <c r="A8" s="117" t="s">
        <v>3</v>
      </c>
      <c r="B8" s="117"/>
      <c r="C8" s="117"/>
      <c r="D8" s="148"/>
      <c r="E8" s="117" t="str">
        <f t="shared" si="0"/>
        <v>estimates@renovabuilt.com</v>
      </c>
      <c r="F8" s="117"/>
      <c r="G8" s="117"/>
      <c r="H8" s="148"/>
    </row>
    <row r="9" spans="1:8" ht="19.5" customHeight="1" x14ac:dyDescent="0.2">
      <c r="A9" s="149" t="s">
        <v>334</v>
      </c>
      <c r="B9" s="149"/>
      <c r="C9" s="149"/>
      <c r="D9" s="149"/>
      <c r="E9" s="149" t="s">
        <v>333</v>
      </c>
      <c r="F9" s="149"/>
      <c r="G9" s="149"/>
      <c r="H9" s="149"/>
    </row>
    <row r="10" spans="1:8" ht="19.5" customHeight="1" x14ac:dyDescent="0.2">
      <c r="A10" s="149"/>
      <c r="B10" s="149"/>
      <c r="C10" s="149"/>
      <c r="D10" s="149"/>
      <c r="E10" s="149"/>
      <c r="F10" s="149"/>
      <c r="G10" s="149"/>
      <c r="H10" s="149"/>
    </row>
    <row r="11" spans="1:8" ht="19.5" customHeight="1" x14ac:dyDescent="0.2">
      <c r="A11" s="107" t="s">
        <v>263</v>
      </c>
      <c r="B11" s="107"/>
      <c r="C11" s="107"/>
      <c r="D11" s="107" t="s">
        <v>4</v>
      </c>
      <c r="E11" s="150" t="e" cm="1" vm="1">
        <f t="array" aca="1" ref="E11" ca="1">'Final Bid (Bulk)'!E11:H40</f>
        <v>#VALUE!</v>
      </c>
      <c r="F11" s="150"/>
      <c r="G11" s="150"/>
      <c r="H11" s="150"/>
    </row>
    <row r="12" spans="1:8" ht="18" customHeight="1" x14ac:dyDescent="0.2">
      <c r="A12" s="144" t="s">
        <v>343</v>
      </c>
      <c r="B12" s="145"/>
      <c r="C12" s="146"/>
      <c r="D12" s="136" t="e">
        <f>'Bid Underwriting'!O3</f>
        <v>#DIV/0!</v>
      </c>
      <c r="E12" s="150"/>
      <c r="F12" s="150"/>
      <c r="G12" s="150"/>
      <c r="H12" s="150"/>
    </row>
    <row r="13" spans="1:8" ht="18" customHeight="1" x14ac:dyDescent="0.2">
      <c r="A13" s="144" t="s">
        <v>15</v>
      </c>
      <c r="B13" s="145"/>
      <c r="C13" s="146"/>
      <c r="D13" s="136">
        <f>'Bid Underwriting'!O17</f>
        <v>0</v>
      </c>
      <c r="E13" s="150"/>
      <c r="F13" s="150"/>
      <c r="G13" s="150"/>
      <c r="H13" s="150"/>
    </row>
    <row r="14" spans="1:8" ht="18" customHeight="1" x14ac:dyDescent="0.2">
      <c r="A14" s="144" t="s">
        <v>20</v>
      </c>
      <c r="B14" s="145"/>
      <c r="C14" s="146"/>
      <c r="D14" s="136">
        <f>'Bid Underwriting'!O27</f>
        <v>0</v>
      </c>
      <c r="E14" s="150"/>
      <c r="F14" s="150"/>
      <c r="G14" s="150"/>
      <c r="H14" s="150"/>
    </row>
    <row r="15" spans="1:8" ht="18" customHeight="1" x14ac:dyDescent="0.2">
      <c r="A15" s="144" t="s">
        <v>344</v>
      </c>
      <c r="B15" s="145"/>
      <c r="C15" s="146"/>
      <c r="D15" s="136">
        <f>'Bid Underwriting'!O41</f>
        <v>0</v>
      </c>
      <c r="E15" s="150"/>
      <c r="F15" s="150"/>
      <c r="G15" s="150"/>
      <c r="H15" s="150"/>
    </row>
    <row r="16" spans="1:8" ht="18" customHeight="1" x14ac:dyDescent="0.2">
      <c r="A16" s="144" t="s">
        <v>345</v>
      </c>
      <c r="B16" s="145"/>
      <c r="C16" s="146"/>
      <c r="D16" s="136">
        <f>'Bid Underwriting'!O51</f>
        <v>0</v>
      </c>
      <c r="E16" s="150"/>
      <c r="F16" s="150"/>
      <c r="G16" s="150"/>
      <c r="H16" s="150"/>
    </row>
    <row r="17" spans="1:8" ht="18" customHeight="1" x14ac:dyDescent="0.2">
      <c r="A17" s="144" t="s">
        <v>325</v>
      </c>
      <c r="B17" s="145"/>
      <c r="C17" s="146"/>
      <c r="D17" s="136">
        <f>'Bid Underwriting'!O58</f>
        <v>0</v>
      </c>
      <c r="E17" s="150"/>
      <c r="F17" s="150"/>
      <c r="G17" s="150"/>
      <c r="H17" s="150"/>
    </row>
    <row r="18" spans="1:8" ht="18" customHeight="1" x14ac:dyDescent="0.2">
      <c r="A18" s="144" t="s">
        <v>17</v>
      </c>
      <c r="B18" s="145"/>
      <c r="C18" s="146"/>
      <c r="D18" s="136" t="e">
        <f>'Bid Underwriting'!O60</f>
        <v>#DIV/0!</v>
      </c>
      <c r="E18" s="150"/>
      <c r="F18" s="150"/>
      <c r="G18" s="150"/>
      <c r="H18" s="150"/>
    </row>
    <row r="19" spans="1:8" ht="18" customHeight="1" x14ac:dyDescent="0.2">
      <c r="A19" s="144" t="s">
        <v>346</v>
      </c>
      <c r="B19" s="145"/>
      <c r="C19" s="146"/>
      <c r="D19" s="136" t="e">
        <f>'Bid Underwriting'!O36</f>
        <v>#DIV/0!</v>
      </c>
      <c r="E19" s="150"/>
      <c r="F19" s="150"/>
      <c r="G19" s="150"/>
      <c r="H19" s="150"/>
    </row>
    <row r="20" spans="1:8" ht="18" customHeight="1" x14ac:dyDescent="0.2">
      <c r="A20" s="144" t="s">
        <v>189</v>
      </c>
      <c r="B20" s="145"/>
      <c r="C20" s="146"/>
      <c r="D20" s="136">
        <f>'Bid Underwriting'!O70</f>
        <v>0</v>
      </c>
      <c r="E20" s="150"/>
      <c r="F20" s="150"/>
      <c r="G20" s="150"/>
      <c r="H20" s="150"/>
    </row>
    <row r="21" spans="1:8" ht="18" customHeight="1" x14ac:dyDescent="0.2">
      <c r="A21" s="144" t="s">
        <v>340</v>
      </c>
      <c r="B21" s="145"/>
      <c r="C21" s="146"/>
      <c r="D21" s="136" t="e">
        <f>'Bid Underwriting'!O79</f>
        <v>#DIV/0!</v>
      </c>
      <c r="E21" s="150"/>
      <c r="F21" s="150"/>
      <c r="G21" s="150"/>
      <c r="H21" s="150"/>
    </row>
    <row r="22" spans="1:8" ht="19.5" customHeight="1" x14ac:dyDescent="0.2">
      <c r="A22" s="107" t="s">
        <v>5</v>
      </c>
      <c r="B22" s="107"/>
      <c r="C22" s="107"/>
      <c r="D22" s="109">
        <v>0</v>
      </c>
      <c r="E22" s="150"/>
      <c r="F22" s="150"/>
      <c r="G22" s="150"/>
      <c r="H22" s="150"/>
    </row>
    <row r="23" spans="1:8" ht="19.5" customHeight="1" x14ac:dyDescent="0.2">
      <c r="A23" s="107" t="s">
        <v>6</v>
      </c>
      <c r="B23" s="108"/>
      <c r="C23" s="108"/>
      <c r="D23" s="110" t="e">
        <f>SUM(D12:D21)+D22</f>
        <v>#DIV/0!</v>
      </c>
      <c r="E23" s="150"/>
      <c r="F23" s="150"/>
      <c r="G23" s="150"/>
      <c r="H23" s="150"/>
    </row>
    <row r="24" spans="1:8" ht="15.75" customHeight="1" x14ac:dyDescent="0.2">
      <c r="A24" s="111"/>
      <c r="B24" s="111"/>
      <c r="C24" s="111"/>
      <c r="D24" s="111"/>
      <c r="E24" s="150"/>
      <c r="F24" s="150"/>
      <c r="G24" s="150"/>
      <c r="H24" s="150"/>
    </row>
    <row r="25" spans="1:8" ht="15.75" customHeight="1" x14ac:dyDescent="0.2">
      <c r="A25" s="111"/>
      <c r="B25" s="111"/>
      <c r="C25" s="111"/>
      <c r="D25" s="111"/>
      <c r="E25" s="150"/>
      <c r="F25" s="150"/>
      <c r="G25" s="150"/>
      <c r="H25" s="150"/>
    </row>
    <row r="26" spans="1:8" ht="15.75" customHeight="1" thickBot="1" x14ac:dyDescent="0.25">
      <c r="A26" s="112" t="s">
        <v>265</v>
      </c>
      <c r="B26" s="111"/>
      <c r="C26" s="111"/>
      <c r="D26" s="111"/>
      <c r="E26" s="150"/>
      <c r="F26" s="150"/>
      <c r="G26" s="150"/>
      <c r="H26" s="150"/>
    </row>
    <row r="27" spans="1:8" ht="15.75" customHeight="1" x14ac:dyDescent="0.2">
      <c r="A27" s="111" t="str">
        <f>"by: "&amp;(D4)</f>
        <v xml:space="preserve">by: Gustavo </v>
      </c>
      <c r="B27" s="111"/>
      <c r="C27" s="111"/>
      <c r="D27" s="111"/>
      <c r="E27" s="150"/>
      <c r="F27" s="150"/>
      <c r="G27" s="150"/>
      <c r="H27" s="150"/>
    </row>
    <row r="28" spans="1:8" ht="15.75" customHeight="1" x14ac:dyDescent="0.2">
      <c r="A28" s="111"/>
      <c r="B28" s="111"/>
      <c r="C28" s="111"/>
      <c r="D28" s="111"/>
      <c r="E28" s="150"/>
      <c r="F28" s="150"/>
      <c r="G28" s="150"/>
      <c r="H28" s="150"/>
    </row>
    <row r="29" spans="1:8" ht="15.75" customHeight="1" x14ac:dyDescent="0.2">
      <c r="A29" s="147" t="s">
        <v>330</v>
      </c>
      <c r="B29" s="147"/>
      <c r="C29" s="147"/>
      <c r="D29" s="147"/>
      <c r="E29" s="150"/>
      <c r="F29" s="150"/>
      <c r="G29" s="150"/>
      <c r="H29" s="150"/>
    </row>
    <row r="30" spans="1:8" ht="15.75" customHeight="1" x14ac:dyDescent="0.2">
      <c r="A30" s="147"/>
      <c r="B30" s="147"/>
      <c r="C30" s="147"/>
      <c r="D30" s="147"/>
      <c r="E30" s="150"/>
      <c r="F30" s="150"/>
      <c r="G30" s="150"/>
      <c r="H30" s="150"/>
    </row>
    <row r="31" spans="1:8" ht="15.75" customHeight="1" x14ac:dyDescent="0.2">
      <c r="A31" s="147"/>
      <c r="B31" s="147"/>
      <c r="C31" s="147"/>
      <c r="D31" s="147"/>
      <c r="E31" s="150"/>
      <c r="F31" s="150"/>
      <c r="G31" s="150"/>
      <c r="H31" s="150"/>
    </row>
    <row r="32" spans="1:8" ht="15.75" customHeight="1" x14ac:dyDescent="0.2">
      <c r="A32" s="147"/>
      <c r="B32" s="147"/>
      <c r="C32" s="147"/>
      <c r="D32" s="147"/>
      <c r="E32" s="150"/>
      <c r="F32" s="150"/>
      <c r="G32" s="150"/>
      <c r="H32" s="150"/>
    </row>
    <row r="33" spans="1:8" ht="15.75" customHeight="1" x14ac:dyDescent="0.2">
      <c r="A33" s="147"/>
      <c r="B33" s="147"/>
      <c r="C33" s="147"/>
      <c r="D33" s="147"/>
      <c r="E33" s="150"/>
      <c r="F33" s="150"/>
      <c r="G33" s="150"/>
      <c r="H33" s="150"/>
    </row>
    <row r="34" spans="1:8" ht="15.75" customHeight="1" x14ac:dyDescent="0.2">
      <c r="A34" s="147"/>
      <c r="B34" s="147"/>
      <c r="C34" s="147"/>
      <c r="D34" s="147"/>
      <c r="E34" s="150"/>
      <c r="F34" s="150"/>
      <c r="G34" s="150"/>
      <c r="H34" s="150"/>
    </row>
    <row r="35" spans="1:8" ht="15.75" customHeight="1" x14ac:dyDescent="0.2">
      <c r="A35" s="113"/>
      <c r="E35" s="150"/>
      <c r="F35" s="150"/>
      <c r="G35" s="150"/>
      <c r="H35" s="150"/>
    </row>
    <row r="36" spans="1:8" ht="15.75" customHeight="1" x14ac:dyDescent="0.2">
      <c r="E36" s="150"/>
      <c r="F36" s="150"/>
      <c r="G36" s="150"/>
      <c r="H36" s="150"/>
    </row>
    <row r="37" spans="1:8" ht="15.75" customHeight="1" x14ac:dyDescent="0.2">
      <c r="E37" s="150"/>
      <c r="F37" s="150"/>
      <c r="G37" s="150"/>
      <c r="H37" s="150"/>
    </row>
    <row r="38" spans="1:8" ht="15.75" customHeight="1" x14ac:dyDescent="0.2">
      <c r="E38" s="150"/>
      <c r="F38" s="150"/>
      <c r="G38" s="150"/>
      <c r="H38" s="150"/>
    </row>
    <row r="39" spans="1:8" ht="15.75" customHeight="1" x14ac:dyDescent="0.2">
      <c r="E39" s="150"/>
      <c r="F39" s="150"/>
      <c r="G39" s="150"/>
      <c r="H39" s="150"/>
    </row>
    <row r="40" spans="1:8" ht="15.75" customHeight="1" x14ac:dyDescent="0.2">
      <c r="E40" s="150"/>
      <c r="F40" s="150"/>
      <c r="G40" s="150"/>
      <c r="H40" s="150"/>
    </row>
  </sheetData>
  <mergeCells count="16">
    <mergeCell ref="E11:H40"/>
    <mergeCell ref="H7:H8"/>
    <mergeCell ref="E9:H10"/>
    <mergeCell ref="A9:D10"/>
    <mergeCell ref="D7:D8"/>
    <mergeCell ref="A29:D34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</mergeCells>
  <hyperlinks>
    <hyperlink ref="A2" r:id="rId1" xr:uid="{B7E7B697-54C9-4707-8EC5-74ED8E200C27}"/>
  </hyperlinks>
  <pageMargins left="0.7" right="0.7" top="0.75" bottom="0.75" header="0.3" footer="0.3"/>
  <pageSetup orientation="portrait" r:id="rId2"/>
  <headerFooter>
    <oddHeader xml:space="preserve">&amp;C&amp;"Acier BAT Text Gris,Regular"&amp;25&amp;KC99864Renova Construction&amp;R
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fitToPage="1"/>
  </sheetPr>
  <dimension ref="A1:AR18"/>
  <sheetViews>
    <sheetView workbookViewId="0">
      <pane xSplit="4" ySplit="2" topLeftCell="E3" activePane="bottomRight" state="frozen"/>
      <selection activeCell="B17" sqref="B17"/>
      <selection pane="topRight" activeCell="B17" sqref="B17"/>
      <selection pane="bottomLeft" activeCell="B17" sqref="B17"/>
      <selection pane="bottomRight" activeCell="D34" sqref="D34"/>
    </sheetView>
  </sheetViews>
  <sheetFormatPr defaultColWidth="14.42578125" defaultRowHeight="15.75" customHeight="1" x14ac:dyDescent="0.2"/>
  <cols>
    <col min="1" max="1" width="9.7109375" customWidth="1"/>
    <col min="2" max="2" width="22.42578125" customWidth="1"/>
    <col min="3" max="3" width="15.42578125" customWidth="1"/>
    <col min="4" max="4" width="24.42578125" customWidth="1"/>
    <col min="5" max="44" width="9" customWidth="1"/>
  </cols>
  <sheetData>
    <row r="1" spans="1:44" ht="12.75" x14ac:dyDescent="0.2">
      <c r="A1" s="10" t="s">
        <v>14</v>
      </c>
      <c r="B1" s="3" t="s">
        <v>51</v>
      </c>
      <c r="C1" s="11" t="s">
        <v>8</v>
      </c>
      <c r="D1" s="12" t="s">
        <v>13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</row>
    <row r="2" spans="1:44" ht="15.75" customHeight="1" x14ac:dyDescent="0.2">
      <c r="A2" s="13">
        <v>0</v>
      </c>
      <c r="B2" s="14" t="s">
        <v>92</v>
      </c>
      <c r="C2" s="15" t="s">
        <v>92</v>
      </c>
      <c r="D2" s="14" t="s">
        <v>92</v>
      </c>
      <c r="E2" s="16">
        <v>44124</v>
      </c>
      <c r="F2" s="17">
        <f t="shared" ref="F2:AR2" si="0">E2+1</f>
        <v>44125</v>
      </c>
      <c r="G2" s="17">
        <f t="shared" si="0"/>
        <v>44126</v>
      </c>
      <c r="H2" s="17">
        <f t="shared" si="0"/>
        <v>44127</v>
      </c>
      <c r="I2" s="17">
        <f t="shared" si="0"/>
        <v>44128</v>
      </c>
      <c r="J2" s="18">
        <f t="shared" si="0"/>
        <v>44129</v>
      </c>
      <c r="K2" s="18">
        <f t="shared" si="0"/>
        <v>44130</v>
      </c>
      <c r="L2" s="17">
        <f t="shared" si="0"/>
        <v>44131</v>
      </c>
      <c r="M2" s="17">
        <f t="shared" si="0"/>
        <v>44132</v>
      </c>
      <c r="N2" s="17">
        <f t="shared" si="0"/>
        <v>44133</v>
      </c>
      <c r="O2" s="17">
        <f t="shared" si="0"/>
        <v>44134</v>
      </c>
      <c r="P2" s="17">
        <f t="shared" si="0"/>
        <v>44135</v>
      </c>
      <c r="Q2" s="18">
        <f t="shared" si="0"/>
        <v>44136</v>
      </c>
      <c r="R2" s="18">
        <f t="shared" si="0"/>
        <v>44137</v>
      </c>
      <c r="S2" s="17">
        <f t="shared" si="0"/>
        <v>44138</v>
      </c>
      <c r="T2" s="17">
        <f t="shared" si="0"/>
        <v>44139</v>
      </c>
      <c r="U2" s="17">
        <f t="shared" si="0"/>
        <v>44140</v>
      </c>
      <c r="V2" s="17">
        <f t="shared" si="0"/>
        <v>44141</v>
      </c>
      <c r="W2" s="17">
        <f t="shared" si="0"/>
        <v>44142</v>
      </c>
      <c r="X2" s="18">
        <f t="shared" si="0"/>
        <v>44143</v>
      </c>
      <c r="Y2" s="18">
        <f t="shared" si="0"/>
        <v>44144</v>
      </c>
      <c r="Z2" s="17">
        <f t="shared" si="0"/>
        <v>44145</v>
      </c>
      <c r="AA2" s="17">
        <f t="shared" si="0"/>
        <v>44146</v>
      </c>
      <c r="AB2" s="17">
        <f t="shared" si="0"/>
        <v>44147</v>
      </c>
      <c r="AC2" s="17">
        <f t="shared" si="0"/>
        <v>44148</v>
      </c>
      <c r="AD2" s="17">
        <f t="shared" si="0"/>
        <v>44149</v>
      </c>
      <c r="AE2" s="18">
        <f t="shared" si="0"/>
        <v>44150</v>
      </c>
      <c r="AF2" s="18">
        <f t="shared" si="0"/>
        <v>44151</v>
      </c>
      <c r="AG2" s="17">
        <f t="shared" si="0"/>
        <v>44152</v>
      </c>
      <c r="AH2" s="17">
        <f t="shared" si="0"/>
        <v>44153</v>
      </c>
      <c r="AI2" s="17">
        <f t="shared" si="0"/>
        <v>44154</v>
      </c>
      <c r="AJ2" s="17">
        <f t="shared" si="0"/>
        <v>44155</v>
      </c>
      <c r="AK2" s="17">
        <f t="shared" si="0"/>
        <v>44156</v>
      </c>
      <c r="AL2" s="18">
        <f t="shared" si="0"/>
        <v>44157</v>
      </c>
      <c r="AM2" s="18">
        <f t="shared" si="0"/>
        <v>44158</v>
      </c>
      <c r="AN2" s="17">
        <f t="shared" si="0"/>
        <v>44159</v>
      </c>
      <c r="AO2" s="17">
        <f t="shared" si="0"/>
        <v>44160</v>
      </c>
      <c r="AP2" s="17">
        <f t="shared" si="0"/>
        <v>44161</v>
      </c>
      <c r="AQ2" s="17">
        <f t="shared" si="0"/>
        <v>44162</v>
      </c>
      <c r="AR2" s="17">
        <f t="shared" si="0"/>
        <v>44163</v>
      </c>
    </row>
    <row r="3" spans="1:44" ht="15.75" customHeight="1" x14ac:dyDescent="0.2">
      <c r="A3" s="13">
        <v>1</v>
      </c>
      <c r="B3" s="19" t="s">
        <v>21</v>
      </c>
      <c r="C3" s="20" t="s">
        <v>109</v>
      </c>
      <c r="D3" s="14" t="s">
        <v>110</v>
      </c>
      <c r="E3" s="21"/>
      <c r="F3" s="21"/>
      <c r="G3" s="21"/>
      <c r="H3" s="21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</row>
    <row r="4" spans="1:44" ht="15.75" customHeight="1" x14ac:dyDescent="0.2">
      <c r="A4" s="13">
        <v>1</v>
      </c>
      <c r="B4" s="14" t="s">
        <v>93</v>
      </c>
      <c r="C4" s="20" t="s">
        <v>109</v>
      </c>
      <c r="D4" s="14" t="s">
        <v>112</v>
      </c>
      <c r="E4" s="21"/>
      <c r="F4" s="21"/>
      <c r="G4" s="21"/>
      <c r="H4" s="21"/>
      <c r="I4" s="21"/>
      <c r="J4" s="22"/>
      <c r="K4" s="22"/>
      <c r="L4" s="21"/>
      <c r="M4" s="21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</row>
    <row r="5" spans="1:44" ht="15.75" customHeight="1" x14ac:dyDescent="0.2">
      <c r="A5" s="13">
        <v>2</v>
      </c>
      <c r="B5" s="19" t="s">
        <v>94</v>
      </c>
      <c r="C5" s="20" t="s">
        <v>109</v>
      </c>
      <c r="D5" s="14" t="s">
        <v>16</v>
      </c>
      <c r="E5" s="21"/>
      <c r="F5" s="21"/>
      <c r="G5" s="21"/>
      <c r="H5" s="21"/>
      <c r="I5" s="21"/>
      <c r="J5" s="22"/>
      <c r="K5" s="22"/>
      <c r="L5" s="21"/>
      <c r="M5" s="21"/>
      <c r="N5" s="21"/>
      <c r="O5" s="21"/>
      <c r="P5" s="21"/>
      <c r="Q5" s="21"/>
      <c r="R5" s="21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</row>
    <row r="6" spans="1:44" ht="15.75" customHeight="1" x14ac:dyDescent="0.2">
      <c r="A6" s="13">
        <v>2</v>
      </c>
      <c r="B6" s="14" t="s">
        <v>95</v>
      </c>
      <c r="C6" s="20" t="s">
        <v>109</v>
      </c>
      <c r="D6" s="14" t="s">
        <v>114</v>
      </c>
      <c r="E6" s="22"/>
      <c r="F6" s="22"/>
      <c r="G6" s="21"/>
      <c r="H6" s="21"/>
      <c r="I6" s="21"/>
      <c r="J6" s="22"/>
      <c r="K6" s="22"/>
      <c r="L6" s="21"/>
      <c r="M6" s="21"/>
      <c r="N6" s="21"/>
      <c r="O6" s="21"/>
      <c r="P6" s="21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</row>
    <row r="7" spans="1:44" ht="15.75" customHeight="1" x14ac:dyDescent="0.2">
      <c r="A7" s="13">
        <v>3</v>
      </c>
      <c r="B7" s="14" t="s">
        <v>27</v>
      </c>
      <c r="C7" s="20" t="s">
        <v>109</v>
      </c>
      <c r="D7" s="23" t="s">
        <v>96</v>
      </c>
      <c r="E7" s="22"/>
      <c r="F7" s="22"/>
      <c r="G7" s="22"/>
      <c r="H7" s="21"/>
      <c r="I7" s="21"/>
      <c r="J7" s="21"/>
      <c r="K7" s="22"/>
      <c r="L7" s="21"/>
      <c r="M7" s="21"/>
      <c r="N7" s="21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</row>
    <row r="8" spans="1:44" ht="15.75" customHeight="1" x14ac:dyDescent="0.2">
      <c r="A8" s="13">
        <v>3</v>
      </c>
      <c r="B8" s="14" t="s">
        <v>97</v>
      </c>
      <c r="C8" s="20" t="s">
        <v>109</v>
      </c>
      <c r="D8" s="19" t="s">
        <v>98</v>
      </c>
      <c r="E8" s="22"/>
      <c r="F8" s="22"/>
      <c r="G8" s="21"/>
      <c r="H8" s="21"/>
      <c r="I8" s="21"/>
      <c r="J8" s="22"/>
      <c r="K8" s="22"/>
      <c r="L8" s="21"/>
      <c r="M8" s="21"/>
      <c r="N8" s="21"/>
      <c r="O8" s="21"/>
      <c r="P8" s="21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</row>
    <row r="9" spans="1:44" ht="15.75" customHeight="1" x14ac:dyDescent="0.2">
      <c r="A9" s="13">
        <v>3</v>
      </c>
      <c r="B9" s="14" t="s">
        <v>28</v>
      </c>
      <c r="C9" s="20" t="s">
        <v>109</v>
      </c>
      <c r="D9" s="19" t="s">
        <v>98</v>
      </c>
      <c r="E9" s="22"/>
      <c r="F9" s="22"/>
      <c r="G9" s="22"/>
      <c r="H9" s="22"/>
      <c r="I9" s="22"/>
      <c r="J9" s="22"/>
      <c r="K9" s="22"/>
      <c r="L9" s="21"/>
      <c r="M9" s="21"/>
      <c r="N9" s="21"/>
      <c r="O9" s="21"/>
      <c r="P9" s="21"/>
      <c r="Q9" s="22"/>
      <c r="R9" s="22"/>
      <c r="S9" s="22"/>
      <c r="T9" s="22"/>
      <c r="U9" s="22"/>
      <c r="V9" s="21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</row>
    <row r="10" spans="1:44" ht="15.75" customHeight="1" x14ac:dyDescent="0.2">
      <c r="A10" s="13">
        <v>3</v>
      </c>
      <c r="B10" s="14" t="s">
        <v>105</v>
      </c>
      <c r="C10" s="20" t="s">
        <v>109</v>
      </c>
      <c r="D10" s="14" t="s">
        <v>16</v>
      </c>
      <c r="E10" s="22"/>
      <c r="F10" s="22"/>
      <c r="G10" s="22"/>
      <c r="H10" s="22"/>
      <c r="I10" s="22"/>
      <c r="J10" s="22"/>
      <c r="K10" s="22"/>
      <c r="L10" s="22"/>
      <c r="M10" s="22"/>
      <c r="N10" s="21"/>
      <c r="O10" s="21"/>
      <c r="P10" s="21"/>
      <c r="Q10" s="22"/>
      <c r="R10" s="22"/>
      <c r="S10" s="21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</row>
    <row r="11" spans="1:44" ht="15.75" customHeight="1" x14ac:dyDescent="0.2">
      <c r="A11" s="13">
        <v>4</v>
      </c>
      <c r="B11" s="14" t="s">
        <v>101</v>
      </c>
      <c r="C11" s="20" t="s">
        <v>109</v>
      </c>
      <c r="D11" s="14" t="s">
        <v>111</v>
      </c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</row>
    <row r="12" spans="1:44" ht="15.75" customHeight="1" x14ac:dyDescent="0.2">
      <c r="A12" s="13">
        <v>4</v>
      </c>
      <c r="B12" s="14" t="s">
        <v>102</v>
      </c>
      <c r="C12" s="20" t="s">
        <v>109</v>
      </c>
      <c r="D12" s="14" t="s">
        <v>103</v>
      </c>
      <c r="E12" s="22"/>
      <c r="F12" s="22"/>
      <c r="G12" s="22"/>
      <c r="H12" s="22"/>
      <c r="I12" s="22"/>
      <c r="J12" s="22"/>
      <c r="K12" s="22"/>
      <c r="L12" s="22"/>
      <c r="M12" s="21"/>
      <c r="N12" s="21"/>
      <c r="O12" s="21"/>
      <c r="P12" s="22"/>
      <c r="Q12" s="22"/>
      <c r="R12" s="22"/>
      <c r="S12" s="22"/>
      <c r="T12" s="22"/>
      <c r="U12" s="22"/>
      <c r="V12" s="21"/>
      <c r="W12" s="21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</row>
    <row r="13" spans="1:44" ht="15.75" customHeight="1" x14ac:dyDescent="0.2">
      <c r="A13" s="13">
        <v>5</v>
      </c>
      <c r="B13" s="19" t="s">
        <v>99</v>
      </c>
      <c r="C13" s="20" t="s">
        <v>109</v>
      </c>
      <c r="D13" s="14" t="s">
        <v>100</v>
      </c>
      <c r="E13" s="21"/>
      <c r="F13" s="21"/>
      <c r="G13" s="21"/>
      <c r="H13" s="22"/>
      <c r="I13" s="22"/>
      <c r="J13" s="22"/>
      <c r="K13" s="22"/>
      <c r="L13" s="21"/>
      <c r="M13" s="21"/>
      <c r="N13" s="21"/>
      <c r="O13" s="21"/>
      <c r="P13" s="21"/>
      <c r="Q13" s="22"/>
      <c r="R13" s="22"/>
      <c r="S13" s="22"/>
      <c r="T13" s="22"/>
      <c r="U13" s="22"/>
      <c r="V13" s="21"/>
      <c r="W13" s="21"/>
      <c r="X13" s="22"/>
      <c r="Y13" s="22"/>
      <c r="Z13" s="21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</row>
    <row r="14" spans="1:44" ht="15.75" customHeight="1" x14ac:dyDescent="0.2">
      <c r="A14" s="13">
        <v>5</v>
      </c>
      <c r="B14" s="19" t="s">
        <v>107</v>
      </c>
      <c r="C14" s="20" t="s">
        <v>109</v>
      </c>
      <c r="D14" s="14" t="s">
        <v>18</v>
      </c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1"/>
      <c r="Q14" s="22"/>
      <c r="R14" s="22"/>
      <c r="S14" s="21"/>
      <c r="T14" s="21"/>
      <c r="U14" s="21"/>
      <c r="V14" s="21"/>
      <c r="W14" s="21"/>
      <c r="X14" s="22"/>
      <c r="Y14" s="22"/>
      <c r="Z14" s="21"/>
      <c r="AA14" s="21"/>
      <c r="AB14" s="22"/>
      <c r="AC14" s="22"/>
      <c r="AD14" s="22"/>
      <c r="AE14" s="21"/>
      <c r="AF14" s="21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</row>
    <row r="15" spans="1:44" ht="15.75" customHeight="1" x14ac:dyDescent="0.2">
      <c r="A15" s="13">
        <v>6</v>
      </c>
      <c r="B15" s="19" t="s">
        <v>104</v>
      </c>
      <c r="C15" s="20" t="s">
        <v>109</v>
      </c>
      <c r="D15" s="14" t="s">
        <v>110</v>
      </c>
      <c r="E15" s="22"/>
      <c r="F15" s="22"/>
      <c r="G15" s="22"/>
      <c r="H15" s="22"/>
      <c r="I15" s="22"/>
      <c r="J15" s="22"/>
      <c r="K15" s="22"/>
      <c r="L15" s="21"/>
      <c r="M15" s="21"/>
      <c r="N15" s="21"/>
      <c r="O15" s="22"/>
      <c r="P15" s="21"/>
      <c r="Q15" s="22"/>
      <c r="R15" s="22"/>
      <c r="S15" s="21"/>
      <c r="T15" s="22"/>
      <c r="U15" s="22"/>
      <c r="V15" s="21"/>
      <c r="W15" s="21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</row>
    <row r="16" spans="1:44" ht="15.75" customHeight="1" x14ac:dyDescent="0.2">
      <c r="A16" s="13">
        <v>7</v>
      </c>
      <c r="B16" s="14" t="s">
        <v>106</v>
      </c>
      <c r="C16" s="20" t="s">
        <v>109</v>
      </c>
      <c r="D16" s="14" t="s">
        <v>110</v>
      </c>
      <c r="E16" s="22"/>
      <c r="F16" s="22"/>
      <c r="G16" s="22"/>
      <c r="H16" s="22"/>
      <c r="I16" s="22"/>
      <c r="J16" s="22"/>
      <c r="K16" s="22"/>
      <c r="L16" s="21"/>
      <c r="M16" s="21"/>
      <c r="N16" s="21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</row>
    <row r="17" spans="1:44" ht="15.75" customHeight="1" x14ac:dyDescent="0.2">
      <c r="A17" s="13">
        <v>9</v>
      </c>
      <c r="B17" s="19" t="s">
        <v>17</v>
      </c>
      <c r="C17" s="20" t="s">
        <v>109</v>
      </c>
      <c r="D17" s="14" t="s">
        <v>113</v>
      </c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1"/>
      <c r="X17" s="22"/>
      <c r="Y17" s="22"/>
      <c r="Z17" s="21"/>
      <c r="AA17" s="21"/>
      <c r="AB17" s="21"/>
      <c r="AC17" s="21"/>
      <c r="AD17" s="21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</row>
    <row r="18" spans="1:44" ht="15.75" customHeight="1" x14ac:dyDescent="0.2">
      <c r="A18" s="13">
        <v>10</v>
      </c>
      <c r="B18" s="14" t="s">
        <v>108</v>
      </c>
      <c r="C18" s="20" t="s">
        <v>109</v>
      </c>
      <c r="D18" s="14" t="s">
        <v>110</v>
      </c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1"/>
      <c r="X18" s="22"/>
      <c r="Y18" s="22"/>
      <c r="Z18" s="21"/>
      <c r="AA18" s="21"/>
      <c r="AB18" s="21"/>
      <c r="AC18" s="21"/>
      <c r="AD18" s="21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</row>
  </sheetData>
  <autoFilter ref="A1:AR18" xr:uid="{00000000-0009-0000-0000-000004000000}">
    <sortState xmlns:xlrd2="http://schemas.microsoft.com/office/spreadsheetml/2017/richdata2" ref="A2:AR18">
      <sortCondition ref="A1:A18"/>
    </sortState>
  </autoFilter>
  <conditionalFormatting sqref="E3:AR18">
    <cfRule type="cellIs" dxfId="3" priority="1" operator="equal">
      <formula>"l"</formula>
    </cfRule>
  </conditionalFormatting>
  <conditionalFormatting sqref="E3:AR18">
    <cfRule type="cellIs" dxfId="2" priority="2" operator="equal">
      <formula>"a"</formula>
    </cfRule>
  </conditionalFormatting>
  <conditionalFormatting sqref="E3:AR18">
    <cfRule type="cellIs" dxfId="1" priority="3" operator="equal">
      <formula>"j"</formula>
    </cfRule>
  </conditionalFormatting>
  <conditionalFormatting sqref="E3:AR18">
    <cfRule type="cellIs" dxfId="0" priority="4" operator="equal">
      <formula>"x"</formula>
    </cfRule>
  </conditionalFormatting>
  <printOptions horizontalCentered="1" gridLines="1"/>
  <pageMargins left="0.7" right="0.7" top="0.75" bottom="0.75" header="0" footer="0"/>
  <pageSetup scale="28" fitToHeight="0" pageOrder="overThenDown" orientation="landscape" cellComments="atEnd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A9260-169C-4D5B-81E2-7C55F281B1A0}">
  <dimension ref="A1:J129"/>
  <sheetViews>
    <sheetView topLeftCell="A19" workbookViewId="0">
      <selection activeCell="F33" sqref="F33"/>
    </sheetView>
  </sheetViews>
  <sheetFormatPr defaultRowHeight="12.75" x14ac:dyDescent="0.2"/>
  <cols>
    <col min="1" max="1" width="31.7109375" bestFit="1" customWidth="1"/>
    <col min="2" max="2" width="13.28515625" style="24" customWidth="1"/>
    <col min="3" max="3" width="11.28515625" style="34" customWidth="1"/>
    <col min="4" max="4" width="11.28515625" style="119" customWidth="1"/>
    <col min="5" max="5" width="31.7109375" bestFit="1" customWidth="1"/>
    <col min="6" max="6" width="13.28515625" style="24" customWidth="1"/>
    <col min="7" max="7" width="11.28515625" style="34" customWidth="1"/>
    <col min="8" max="10" width="9.140625" style="85"/>
  </cols>
  <sheetData>
    <row r="1" spans="1:10" x14ac:dyDescent="0.2">
      <c r="A1" s="29" t="s">
        <v>140</v>
      </c>
      <c r="B1" s="31" t="s">
        <v>141</v>
      </c>
      <c r="C1" s="33" t="s">
        <v>148</v>
      </c>
      <c r="D1" s="84" t="s">
        <v>247</v>
      </c>
      <c r="E1" s="29" t="s">
        <v>140</v>
      </c>
      <c r="F1" s="29" t="s">
        <v>147</v>
      </c>
      <c r="G1" s="33" t="s">
        <v>148</v>
      </c>
      <c r="H1" s="83" t="s">
        <v>173</v>
      </c>
      <c r="I1" s="84" t="s">
        <v>174</v>
      </c>
      <c r="J1" s="83" t="s">
        <v>175</v>
      </c>
    </row>
    <row r="2" spans="1:10" x14ac:dyDescent="0.2">
      <c r="A2" s="29" t="s">
        <v>130</v>
      </c>
      <c r="B2" s="31" t="s">
        <v>141</v>
      </c>
      <c r="C2" s="33" t="s">
        <v>148</v>
      </c>
      <c r="D2" s="84"/>
      <c r="E2" s="29" t="str">
        <f>A2</f>
        <v>Baseboards</v>
      </c>
      <c r="F2" s="29" t="s">
        <v>147</v>
      </c>
      <c r="G2" s="33" t="s">
        <v>148</v>
      </c>
    </row>
    <row r="3" spans="1:10" x14ac:dyDescent="0.2">
      <c r="A3" s="30" t="s">
        <v>137</v>
      </c>
      <c r="B3" s="24">
        <v>0.95</v>
      </c>
      <c r="C3" s="34" t="s">
        <v>131</v>
      </c>
      <c r="E3" s="30" t="str">
        <f>A3</f>
        <v>3 1/2 Pine</v>
      </c>
      <c r="F3" s="24">
        <v>1.75</v>
      </c>
      <c r="G3" s="34" t="s">
        <v>131</v>
      </c>
    </row>
    <row r="4" spans="1:10" x14ac:dyDescent="0.2">
      <c r="A4" s="30" t="s">
        <v>138</v>
      </c>
      <c r="B4" s="24">
        <v>0.35</v>
      </c>
      <c r="C4" s="34" t="s">
        <v>131</v>
      </c>
      <c r="E4" s="30" t="str">
        <f t="shared" ref="E4:E71" si="0">A4</f>
        <v>3 1/2 MDF</v>
      </c>
      <c r="F4" s="24">
        <v>1.75</v>
      </c>
      <c r="G4" s="34" t="s">
        <v>131</v>
      </c>
    </row>
    <row r="5" spans="1:10" x14ac:dyDescent="0.2">
      <c r="A5" s="25" t="s">
        <v>139</v>
      </c>
      <c r="B5" s="24">
        <v>1.04</v>
      </c>
      <c r="C5" s="34" t="s">
        <v>131</v>
      </c>
      <c r="E5" s="30" t="str">
        <f t="shared" si="0"/>
        <v>4 1/4 Pine</v>
      </c>
      <c r="F5" s="24">
        <v>1.75</v>
      </c>
      <c r="G5" s="34" t="s">
        <v>131</v>
      </c>
    </row>
    <row r="6" spans="1:10" x14ac:dyDescent="0.2">
      <c r="A6" s="25" t="s">
        <v>192</v>
      </c>
      <c r="B6" s="24">
        <v>0</v>
      </c>
      <c r="C6" s="34" t="s">
        <v>171</v>
      </c>
      <c r="E6" s="30" t="str">
        <f t="shared" si="0"/>
        <v>Custom</v>
      </c>
      <c r="F6" s="24">
        <v>0</v>
      </c>
      <c r="G6" s="34" t="s">
        <v>171</v>
      </c>
    </row>
    <row r="7" spans="1:10" x14ac:dyDescent="0.2">
      <c r="E7" s="30"/>
    </row>
    <row r="8" spans="1:10" x14ac:dyDescent="0.2">
      <c r="A8" s="29" t="s">
        <v>145</v>
      </c>
      <c r="B8" s="31" t="s">
        <v>141</v>
      </c>
      <c r="C8" s="33" t="s">
        <v>148</v>
      </c>
      <c r="D8" s="84"/>
      <c r="E8" s="82" t="str">
        <f t="shared" si="0"/>
        <v>Flooring (includes underlayment)</v>
      </c>
      <c r="F8" s="29" t="s">
        <v>147</v>
      </c>
      <c r="G8" s="33" t="s">
        <v>148</v>
      </c>
    </row>
    <row r="9" spans="1:10" x14ac:dyDescent="0.2">
      <c r="A9" s="25" t="s">
        <v>142</v>
      </c>
      <c r="B9" s="32">
        <f>1.6+0.1</f>
        <v>1.7000000000000002</v>
      </c>
      <c r="C9" s="34" t="s">
        <v>129</v>
      </c>
      <c r="E9" s="30" t="str">
        <f t="shared" si="0"/>
        <v>Standard (PHD Laminate)</v>
      </c>
      <c r="F9" s="24">
        <v>1.6</v>
      </c>
      <c r="G9" s="34" t="s">
        <v>129</v>
      </c>
    </row>
    <row r="10" spans="1:10" x14ac:dyDescent="0.2">
      <c r="A10" s="25" t="s">
        <v>143</v>
      </c>
      <c r="B10" s="24">
        <f>2.5+0.1</f>
        <v>2.6</v>
      </c>
      <c r="C10" s="34" t="s">
        <v>129</v>
      </c>
      <c r="E10" s="30" t="str">
        <f t="shared" si="0"/>
        <v>Pergo Outlast</v>
      </c>
      <c r="F10" s="24">
        <v>1.6</v>
      </c>
      <c r="G10" s="34" t="s">
        <v>129</v>
      </c>
    </row>
    <row r="11" spans="1:10" x14ac:dyDescent="0.2">
      <c r="A11" s="25" t="s">
        <v>144</v>
      </c>
      <c r="B11" s="24">
        <f>2.5</f>
        <v>2.5</v>
      </c>
      <c r="C11" s="34" t="s">
        <v>129</v>
      </c>
      <c r="E11" s="30" t="str">
        <f t="shared" si="0"/>
        <v>Lifeproof</v>
      </c>
      <c r="F11" s="24">
        <v>1.6</v>
      </c>
      <c r="G11" s="34" t="s">
        <v>129</v>
      </c>
    </row>
    <row r="12" spans="1:10" x14ac:dyDescent="0.2">
      <c r="A12" s="25" t="s">
        <v>152</v>
      </c>
      <c r="B12" s="24">
        <v>2</v>
      </c>
      <c r="C12" s="34" t="s">
        <v>129</v>
      </c>
      <c r="E12" s="30" t="str">
        <f t="shared" si="0"/>
        <v>Carpet (all-in)</v>
      </c>
      <c r="F12" s="24">
        <v>0</v>
      </c>
      <c r="G12" s="34" t="s">
        <v>165</v>
      </c>
    </row>
    <row r="13" spans="1:10" x14ac:dyDescent="0.2">
      <c r="A13" s="25" t="s">
        <v>153</v>
      </c>
      <c r="B13" s="24">
        <v>2.5</v>
      </c>
      <c r="C13" s="34" t="s">
        <v>129</v>
      </c>
      <c r="E13" s="30" t="str">
        <f t="shared" si="0"/>
        <v>Gluedown (all-in)</v>
      </c>
      <c r="F13" s="24">
        <v>0</v>
      </c>
      <c r="G13" s="34" t="s">
        <v>165</v>
      </c>
    </row>
    <row r="14" spans="1:10" x14ac:dyDescent="0.2">
      <c r="A14" s="25" t="s">
        <v>255</v>
      </c>
      <c r="B14" s="24">
        <v>50</v>
      </c>
      <c r="C14" s="34" t="s">
        <v>171</v>
      </c>
      <c r="E14" s="30" t="str">
        <f t="shared" si="0"/>
        <v>Stairs</v>
      </c>
      <c r="F14" s="24">
        <v>70</v>
      </c>
      <c r="G14" s="34" t="s">
        <v>171</v>
      </c>
    </row>
    <row r="15" spans="1:10" x14ac:dyDescent="0.2">
      <c r="A15" s="25" t="s">
        <v>242</v>
      </c>
      <c r="B15" s="24">
        <v>3.25</v>
      </c>
      <c r="C15" s="34" t="s">
        <v>129</v>
      </c>
      <c r="E15" s="30" t="str">
        <f t="shared" si="0"/>
        <v>Refinish (oak)</v>
      </c>
      <c r="F15" s="24">
        <v>4</v>
      </c>
      <c r="G15" s="34" t="s">
        <v>129</v>
      </c>
    </row>
    <row r="16" spans="1:10" x14ac:dyDescent="0.2">
      <c r="A16" s="25" t="s">
        <v>192</v>
      </c>
      <c r="B16" s="24">
        <v>0</v>
      </c>
      <c r="C16" s="34" t="s">
        <v>171</v>
      </c>
      <c r="E16" s="30" t="str">
        <f t="shared" si="0"/>
        <v>Custom</v>
      </c>
      <c r="F16" s="24">
        <v>0</v>
      </c>
      <c r="G16" s="34" t="s">
        <v>171</v>
      </c>
    </row>
    <row r="17" spans="1:7" x14ac:dyDescent="0.2">
      <c r="E17" s="30"/>
    </row>
    <row r="18" spans="1:7" x14ac:dyDescent="0.2">
      <c r="A18" s="29" t="s">
        <v>135</v>
      </c>
      <c r="B18" s="31" t="s">
        <v>141</v>
      </c>
      <c r="C18" s="33" t="s">
        <v>148</v>
      </c>
      <c r="D18" s="84"/>
      <c r="E18" s="82" t="str">
        <f t="shared" si="0"/>
        <v>Countertops</v>
      </c>
      <c r="F18" s="29" t="s">
        <v>147</v>
      </c>
      <c r="G18" s="33" t="s">
        <v>148</v>
      </c>
    </row>
    <row r="19" spans="1:7" x14ac:dyDescent="0.2">
      <c r="A19" s="25" t="s">
        <v>151</v>
      </c>
      <c r="B19" s="24">
        <v>0</v>
      </c>
      <c r="C19" s="34" t="s">
        <v>149</v>
      </c>
      <c r="E19" s="30" t="str">
        <f t="shared" si="0"/>
        <v>Quartz (calcutta)</v>
      </c>
      <c r="F19" s="24">
        <v>22.5</v>
      </c>
      <c r="G19" s="34" t="s">
        <v>129</v>
      </c>
    </row>
    <row r="20" spans="1:7" x14ac:dyDescent="0.2">
      <c r="A20" s="25" t="s">
        <v>150</v>
      </c>
      <c r="B20" s="24">
        <f>580*0.8</f>
        <v>464</v>
      </c>
      <c r="C20" s="34" t="s">
        <v>149</v>
      </c>
      <c r="E20" s="30" t="str">
        <f t="shared" si="0"/>
        <v>Quartz (manhatten)</v>
      </c>
      <c r="F20" s="24">
        <v>22.5</v>
      </c>
      <c r="G20" s="34" t="s">
        <v>129</v>
      </c>
    </row>
    <row r="21" spans="1:7" x14ac:dyDescent="0.2">
      <c r="A21" s="25" t="s">
        <v>146</v>
      </c>
      <c r="B21" s="24">
        <v>100</v>
      </c>
      <c r="C21" s="34" t="s">
        <v>149</v>
      </c>
      <c r="E21" s="30" t="str">
        <f t="shared" si="0"/>
        <v>Formica (Ikea)</v>
      </c>
      <c r="F21" s="24">
        <v>150</v>
      </c>
      <c r="G21" s="34" t="s">
        <v>149</v>
      </c>
    </row>
    <row r="22" spans="1:7" x14ac:dyDescent="0.2">
      <c r="A22" s="25" t="s">
        <v>218</v>
      </c>
      <c r="B22" s="24">
        <v>200</v>
      </c>
      <c r="C22" s="34" t="s">
        <v>149</v>
      </c>
      <c r="E22" s="30" t="str">
        <f t="shared" si="0"/>
        <v>Granite</v>
      </c>
      <c r="F22" s="24">
        <v>22.5</v>
      </c>
      <c r="G22" s="34" t="s">
        <v>149</v>
      </c>
    </row>
    <row r="23" spans="1:7" x14ac:dyDescent="0.2">
      <c r="A23" s="25" t="s">
        <v>192</v>
      </c>
      <c r="B23" s="24">
        <v>0</v>
      </c>
      <c r="C23" s="34" t="s">
        <v>171</v>
      </c>
      <c r="E23" s="30" t="str">
        <f t="shared" si="0"/>
        <v>Custom</v>
      </c>
      <c r="F23" s="24">
        <v>0</v>
      </c>
      <c r="G23" s="34" t="s">
        <v>171</v>
      </c>
    </row>
    <row r="24" spans="1:7" x14ac:dyDescent="0.2">
      <c r="E24" s="30"/>
    </row>
    <row r="25" spans="1:7" x14ac:dyDescent="0.2">
      <c r="A25" s="29" t="s">
        <v>154</v>
      </c>
      <c r="B25" s="31" t="s">
        <v>141</v>
      </c>
      <c r="C25" s="33" t="s">
        <v>148</v>
      </c>
      <c r="D25" s="84"/>
      <c r="E25" s="82" t="str">
        <f t="shared" si="0"/>
        <v>Appliances</v>
      </c>
      <c r="F25" s="29" t="s">
        <v>147</v>
      </c>
      <c r="G25" s="33" t="s">
        <v>148</v>
      </c>
    </row>
    <row r="26" spans="1:7" x14ac:dyDescent="0.2">
      <c r="A26" s="25" t="s">
        <v>155</v>
      </c>
      <c r="B26" s="24">
        <v>750</v>
      </c>
      <c r="C26" s="34" t="s">
        <v>164</v>
      </c>
      <c r="E26" s="30" t="str">
        <f t="shared" si="0"/>
        <v>Range 30" Electric</v>
      </c>
      <c r="F26" s="24">
        <v>80</v>
      </c>
      <c r="G26" s="34" t="s">
        <v>171</v>
      </c>
    </row>
    <row r="27" spans="1:7" x14ac:dyDescent="0.2">
      <c r="A27" s="25" t="s">
        <v>156</v>
      </c>
      <c r="B27" s="24">
        <v>850</v>
      </c>
      <c r="C27" s="34" t="s">
        <v>164</v>
      </c>
      <c r="E27" s="30" t="str">
        <f t="shared" si="0"/>
        <v>Range 24" Electric</v>
      </c>
      <c r="F27" s="24">
        <v>80</v>
      </c>
      <c r="G27" s="34" t="s">
        <v>171</v>
      </c>
    </row>
    <row r="28" spans="1:7" x14ac:dyDescent="0.2">
      <c r="A28" s="25" t="s">
        <v>157</v>
      </c>
      <c r="B28" s="24">
        <v>750</v>
      </c>
      <c r="C28" s="34" t="s">
        <v>164</v>
      </c>
      <c r="E28" s="30" t="str">
        <f t="shared" si="0"/>
        <v>Range 30" Gas</v>
      </c>
      <c r="F28" s="24">
        <v>80</v>
      </c>
      <c r="G28" s="34" t="s">
        <v>171</v>
      </c>
    </row>
    <row r="29" spans="1:7" x14ac:dyDescent="0.2">
      <c r="A29" s="25" t="s">
        <v>158</v>
      </c>
      <c r="B29" s="24">
        <v>850</v>
      </c>
      <c r="C29" s="34" t="s">
        <v>164</v>
      </c>
      <c r="E29" s="30" t="str">
        <f t="shared" si="0"/>
        <v>Range 24" Gas</v>
      </c>
      <c r="F29" s="24">
        <v>80</v>
      </c>
      <c r="G29" s="34" t="s">
        <v>171</v>
      </c>
    </row>
    <row r="30" spans="1:7" x14ac:dyDescent="0.2">
      <c r="A30" s="25" t="s">
        <v>159</v>
      </c>
      <c r="B30" s="24">
        <v>750</v>
      </c>
      <c r="C30" s="34" t="s">
        <v>164</v>
      </c>
      <c r="E30" s="30" t="str">
        <f t="shared" si="0"/>
        <v>Refrdgerator 30"</v>
      </c>
      <c r="F30" s="24">
        <v>0</v>
      </c>
      <c r="G30" s="34" t="s">
        <v>171</v>
      </c>
    </row>
    <row r="31" spans="1:7" x14ac:dyDescent="0.2">
      <c r="A31" s="25" t="s">
        <v>160</v>
      </c>
      <c r="B31" s="24">
        <v>600</v>
      </c>
      <c r="C31" s="34" t="s">
        <v>164</v>
      </c>
      <c r="E31" s="30" t="str">
        <f t="shared" si="0"/>
        <v>Refrdgerator 24"</v>
      </c>
      <c r="F31" s="24">
        <v>0</v>
      </c>
      <c r="G31" s="34" t="s">
        <v>171</v>
      </c>
    </row>
    <row r="32" spans="1:7" x14ac:dyDescent="0.2">
      <c r="A32" s="25" t="s">
        <v>161</v>
      </c>
      <c r="B32" s="24">
        <v>85</v>
      </c>
      <c r="C32" s="34" t="s">
        <v>164</v>
      </c>
      <c r="D32" s="119" t="s">
        <v>271</v>
      </c>
      <c r="E32" s="30" t="str">
        <f t="shared" si="0"/>
        <v>Range Hood 30"</v>
      </c>
      <c r="F32" s="24">
        <v>40</v>
      </c>
      <c r="G32" s="34" t="s">
        <v>171</v>
      </c>
    </row>
    <row r="33" spans="1:7" x14ac:dyDescent="0.2">
      <c r="A33" s="25" t="s">
        <v>162</v>
      </c>
      <c r="B33" s="24">
        <v>82</v>
      </c>
      <c r="C33" s="34" t="s">
        <v>164</v>
      </c>
      <c r="D33" s="119" t="s">
        <v>271</v>
      </c>
      <c r="E33" s="30" t="str">
        <f t="shared" si="0"/>
        <v>Range Hood 24"</v>
      </c>
      <c r="F33" s="24">
        <v>40</v>
      </c>
      <c r="G33" s="34" t="s">
        <v>171</v>
      </c>
    </row>
    <row r="34" spans="1:7" x14ac:dyDescent="0.2">
      <c r="A34" s="25" t="s">
        <v>163</v>
      </c>
      <c r="B34" s="24">
        <v>288</v>
      </c>
      <c r="C34" s="34" t="s">
        <v>164</v>
      </c>
      <c r="E34" s="30" t="str">
        <f t="shared" si="0"/>
        <v>Range Hood 30" w Microwave</v>
      </c>
      <c r="F34" s="24">
        <v>60</v>
      </c>
      <c r="G34" s="34" t="s">
        <v>171</v>
      </c>
    </row>
    <row r="35" spans="1:7" x14ac:dyDescent="0.2">
      <c r="A35" s="25" t="s">
        <v>239</v>
      </c>
      <c r="B35" s="24">
        <v>300</v>
      </c>
      <c r="C35" s="34" t="s">
        <v>164</v>
      </c>
      <c r="E35" s="30" t="str">
        <f t="shared" si="0"/>
        <v>Dishwasher 24"</v>
      </c>
      <c r="F35" s="24">
        <v>40</v>
      </c>
      <c r="G35" s="34" t="s">
        <v>171</v>
      </c>
    </row>
    <row r="36" spans="1:7" x14ac:dyDescent="0.2">
      <c r="A36" s="25" t="s">
        <v>167</v>
      </c>
      <c r="B36" s="24">
        <v>1300</v>
      </c>
      <c r="C36" s="34" t="s">
        <v>164</v>
      </c>
      <c r="E36" s="30" t="str">
        <f t="shared" si="0"/>
        <v>W/D Stacked Unit</v>
      </c>
      <c r="F36" s="24">
        <v>0</v>
      </c>
      <c r="G36" s="34" t="s">
        <v>171</v>
      </c>
    </row>
    <row r="37" spans="1:7" x14ac:dyDescent="0.2">
      <c r="A37" s="25" t="s">
        <v>166</v>
      </c>
      <c r="B37" s="24">
        <v>899</v>
      </c>
      <c r="C37" s="34" t="s">
        <v>164</v>
      </c>
      <c r="E37" s="30" t="str">
        <f t="shared" si="0"/>
        <v>W/D Efficiency Unit</v>
      </c>
      <c r="F37" s="24">
        <v>0</v>
      </c>
      <c r="G37" s="34" t="s">
        <v>171</v>
      </c>
    </row>
    <row r="38" spans="1:7" x14ac:dyDescent="0.2">
      <c r="A38" s="25" t="s">
        <v>192</v>
      </c>
      <c r="B38" s="24">
        <v>0</v>
      </c>
      <c r="C38" s="34" t="s">
        <v>171</v>
      </c>
      <c r="E38" s="30" t="str">
        <f t="shared" si="0"/>
        <v>Custom</v>
      </c>
      <c r="F38" s="24">
        <v>0</v>
      </c>
      <c r="G38" s="34" t="s">
        <v>171</v>
      </c>
    </row>
    <row r="39" spans="1:7" x14ac:dyDescent="0.2">
      <c r="E39" s="30"/>
    </row>
    <row r="40" spans="1:7" x14ac:dyDescent="0.2">
      <c r="A40" s="29" t="s">
        <v>17</v>
      </c>
      <c r="B40" s="31" t="s">
        <v>141</v>
      </c>
      <c r="C40" s="33" t="s">
        <v>148</v>
      </c>
      <c r="D40" s="84"/>
      <c r="E40" s="82" t="str">
        <f t="shared" si="0"/>
        <v>Paint</v>
      </c>
      <c r="F40" s="29" t="s">
        <v>147</v>
      </c>
      <c r="G40" s="33" t="s">
        <v>148</v>
      </c>
    </row>
    <row r="41" spans="1:7" x14ac:dyDescent="0.2">
      <c r="A41" s="25" t="s">
        <v>193</v>
      </c>
      <c r="B41" s="24">
        <v>0</v>
      </c>
      <c r="C41" s="34" t="s">
        <v>165</v>
      </c>
      <c r="E41" s="30" t="str">
        <f t="shared" si="0"/>
        <v>Interior</v>
      </c>
      <c r="F41" s="24">
        <v>3</v>
      </c>
      <c r="G41" s="34" t="s">
        <v>129</v>
      </c>
    </row>
    <row r="42" spans="1:7" x14ac:dyDescent="0.2">
      <c r="A42" s="25" t="s">
        <v>192</v>
      </c>
      <c r="B42" s="24">
        <v>0</v>
      </c>
      <c r="C42" s="34" t="s">
        <v>171</v>
      </c>
      <c r="E42" s="30" t="str">
        <f t="shared" si="0"/>
        <v>Custom</v>
      </c>
      <c r="F42" s="24">
        <v>0</v>
      </c>
      <c r="G42" s="34" t="s">
        <v>171</v>
      </c>
    </row>
    <row r="43" spans="1:7" x14ac:dyDescent="0.2">
      <c r="E43" s="30"/>
    </row>
    <row r="44" spans="1:7" x14ac:dyDescent="0.2">
      <c r="A44" s="29" t="s">
        <v>134</v>
      </c>
      <c r="B44" s="31" t="s">
        <v>141</v>
      </c>
      <c r="C44" s="33" t="s">
        <v>148</v>
      </c>
      <c r="D44" s="84"/>
      <c r="E44" s="82" t="str">
        <f t="shared" si="0"/>
        <v>Doors</v>
      </c>
      <c r="F44" s="29" t="s">
        <v>147</v>
      </c>
      <c r="G44" s="33" t="s">
        <v>148</v>
      </c>
    </row>
    <row r="45" spans="1:7" x14ac:dyDescent="0.2">
      <c r="A45" s="25" t="s">
        <v>273</v>
      </c>
      <c r="B45" s="24">
        <v>82.86</v>
      </c>
      <c r="C45" s="34" t="s">
        <v>171</v>
      </c>
      <c r="D45" s="119" t="s">
        <v>282</v>
      </c>
      <c r="E45" s="30" t="str">
        <f t="shared" si="0"/>
        <v>Prehung (smooth) 30x80</v>
      </c>
      <c r="F45" s="24">
        <v>100</v>
      </c>
      <c r="G45" s="34" t="s">
        <v>171</v>
      </c>
    </row>
    <row r="46" spans="1:7" x14ac:dyDescent="0.2">
      <c r="A46" s="25" t="s">
        <v>274</v>
      </c>
      <c r="B46" s="24">
        <v>96.86</v>
      </c>
      <c r="C46" s="34" t="s">
        <v>171</v>
      </c>
      <c r="D46" s="119" t="s">
        <v>282</v>
      </c>
      <c r="E46" s="30" t="str">
        <f t="shared" ref="E46:E47" si="1">A46</f>
        <v>Prehung (smooth) 32x80</v>
      </c>
      <c r="F46" s="24">
        <v>100</v>
      </c>
      <c r="G46" s="34" t="s">
        <v>171</v>
      </c>
    </row>
    <row r="47" spans="1:7" x14ac:dyDescent="0.2">
      <c r="A47" s="25" t="s">
        <v>279</v>
      </c>
      <c r="B47" s="24">
        <v>99.86</v>
      </c>
      <c r="C47" s="34" t="s">
        <v>171</v>
      </c>
      <c r="D47" s="119" t="s">
        <v>282</v>
      </c>
      <c r="E47" s="30" t="str">
        <f t="shared" si="1"/>
        <v>Prehung (smooth) 36x82</v>
      </c>
      <c r="F47" s="24">
        <v>100</v>
      </c>
      <c r="G47" s="34" t="s">
        <v>171</v>
      </c>
    </row>
    <row r="48" spans="1:7" x14ac:dyDescent="0.2">
      <c r="A48" s="25" t="s">
        <v>277</v>
      </c>
      <c r="B48" s="24">
        <v>41.86</v>
      </c>
      <c r="C48" s="34" t="s">
        <v>171</v>
      </c>
      <c r="D48" s="119" t="s">
        <v>288</v>
      </c>
      <c r="E48" s="30" t="str">
        <f t="shared" si="0"/>
        <v>Slab (smooth) 30x80</v>
      </c>
      <c r="F48" s="24">
        <v>50</v>
      </c>
      <c r="G48" s="34" t="s">
        <v>171</v>
      </c>
    </row>
    <row r="49" spans="1:7" x14ac:dyDescent="0.2">
      <c r="A49" s="25" t="s">
        <v>275</v>
      </c>
      <c r="B49" s="24">
        <v>43.86</v>
      </c>
      <c r="C49" s="34" t="s">
        <v>171</v>
      </c>
      <c r="D49" s="119" t="s">
        <v>288</v>
      </c>
      <c r="E49" s="30" t="str">
        <f t="shared" ref="E49:E50" si="2">A49</f>
        <v>Slab (smooth) 32x80</v>
      </c>
      <c r="F49" s="24">
        <v>50</v>
      </c>
      <c r="G49" s="34" t="s">
        <v>171</v>
      </c>
    </row>
    <row r="50" spans="1:7" x14ac:dyDescent="0.2">
      <c r="A50" s="25" t="s">
        <v>278</v>
      </c>
      <c r="B50" s="24">
        <v>46.86</v>
      </c>
      <c r="C50" s="34" t="s">
        <v>171</v>
      </c>
      <c r="D50" s="119" t="s">
        <v>288</v>
      </c>
      <c r="E50" s="30" t="str">
        <f t="shared" si="2"/>
        <v>Slab (smooth) 36x80</v>
      </c>
      <c r="F50" s="24">
        <v>50</v>
      </c>
      <c r="G50" s="34" t="s">
        <v>171</v>
      </c>
    </row>
    <row r="51" spans="1:7" x14ac:dyDescent="0.2">
      <c r="A51" s="25" t="s">
        <v>285</v>
      </c>
      <c r="B51" s="24">
        <v>88.86</v>
      </c>
      <c r="C51" s="34" t="s">
        <v>171</v>
      </c>
      <c r="D51" s="119" t="s">
        <v>291</v>
      </c>
      <c r="E51" s="30" t="str">
        <f t="shared" si="0"/>
        <v>Prehung (6-Panel) 30x80</v>
      </c>
      <c r="F51" s="24">
        <v>100</v>
      </c>
      <c r="G51" s="34" t="s">
        <v>171</v>
      </c>
    </row>
    <row r="52" spans="1:7" x14ac:dyDescent="0.2">
      <c r="A52" s="25" t="s">
        <v>182</v>
      </c>
      <c r="B52" s="24">
        <v>91.86</v>
      </c>
      <c r="C52" s="34" t="s">
        <v>171</v>
      </c>
      <c r="D52" s="119" t="s">
        <v>291</v>
      </c>
      <c r="E52" s="30" t="str">
        <f t="shared" ref="E52:E53" si="3">A52</f>
        <v>Prehung (6-Panel) 32x80</v>
      </c>
      <c r="F52" s="24">
        <v>100</v>
      </c>
      <c r="G52" s="34" t="s">
        <v>171</v>
      </c>
    </row>
    <row r="53" spans="1:7" x14ac:dyDescent="0.2">
      <c r="A53" s="25" t="s">
        <v>289</v>
      </c>
      <c r="B53" s="24">
        <v>95.86</v>
      </c>
      <c r="C53" s="34" t="s">
        <v>171</v>
      </c>
      <c r="D53" s="119" t="s">
        <v>291</v>
      </c>
      <c r="E53" s="30" t="str">
        <f t="shared" si="3"/>
        <v>Prehung (6-Panel) 36x82</v>
      </c>
      <c r="F53" s="24">
        <v>100</v>
      </c>
      <c r="G53" s="34" t="s">
        <v>171</v>
      </c>
    </row>
    <row r="54" spans="1:7" x14ac:dyDescent="0.2">
      <c r="A54" s="25" t="s">
        <v>286</v>
      </c>
      <c r="B54" s="24">
        <v>44</v>
      </c>
      <c r="C54" s="34" t="s">
        <v>171</v>
      </c>
      <c r="D54" s="119" t="s">
        <v>284</v>
      </c>
      <c r="E54" s="30" t="str">
        <f t="shared" si="0"/>
        <v>Slab (6-Panel) 30x80</v>
      </c>
      <c r="F54" s="24">
        <v>50</v>
      </c>
      <c r="G54" s="34" t="s">
        <v>171</v>
      </c>
    </row>
    <row r="55" spans="1:7" x14ac:dyDescent="0.2">
      <c r="A55" s="25" t="s">
        <v>181</v>
      </c>
      <c r="B55" s="24">
        <v>41.86</v>
      </c>
      <c r="C55" s="34" t="s">
        <v>171</v>
      </c>
      <c r="D55" s="119" t="s">
        <v>284</v>
      </c>
      <c r="E55" s="30" t="str">
        <f t="shared" ref="E55:E56" si="4">A55</f>
        <v>Slab (6-Panel) 32x80</v>
      </c>
      <c r="F55" s="24">
        <v>50</v>
      </c>
      <c r="G55" s="34" t="s">
        <v>171</v>
      </c>
    </row>
    <row r="56" spans="1:7" x14ac:dyDescent="0.2">
      <c r="A56" s="25" t="s">
        <v>287</v>
      </c>
      <c r="B56" s="24">
        <v>43.86</v>
      </c>
      <c r="C56" s="34" t="s">
        <v>171</v>
      </c>
      <c r="D56" s="119" t="s">
        <v>284</v>
      </c>
      <c r="E56" s="30" t="str">
        <f t="shared" si="4"/>
        <v>Slab (6-Panel) 36x80</v>
      </c>
      <c r="F56" s="24">
        <v>50</v>
      </c>
      <c r="G56" s="34" t="s">
        <v>171</v>
      </c>
    </row>
    <row r="57" spans="1:7" x14ac:dyDescent="0.2">
      <c r="A57" s="25" t="s">
        <v>293</v>
      </c>
      <c r="B57" s="24">
        <v>366.52</v>
      </c>
      <c r="C57" s="34" t="s">
        <v>171</v>
      </c>
      <c r="D57" s="119" t="s">
        <v>290</v>
      </c>
      <c r="E57" s="30" t="str">
        <f t="shared" si="0"/>
        <v>Closet Door Mirror Kit 72x80</v>
      </c>
      <c r="F57" s="24">
        <v>100</v>
      </c>
      <c r="G57" s="34" t="s">
        <v>171</v>
      </c>
    </row>
    <row r="58" spans="1:7" x14ac:dyDescent="0.2">
      <c r="A58" s="25" t="s">
        <v>292</v>
      </c>
      <c r="B58" s="24">
        <v>58.56</v>
      </c>
      <c r="C58" s="34" t="s">
        <v>171</v>
      </c>
      <c r="D58" s="119" t="s">
        <v>294</v>
      </c>
      <c r="E58" s="30" t="str">
        <f t="shared" si="0"/>
        <v>Closet Door (bi-fold) 36x80</v>
      </c>
      <c r="F58" s="24">
        <v>0</v>
      </c>
      <c r="G58" s="34" t="s">
        <v>171</v>
      </c>
    </row>
    <row r="59" spans="1:7" x14ac:dyDescent="0.2">
      <c r="A59" s="25" t="s">
        <v>305</v>
      </c>
      <c r="B59" s="24">
        <v>118</v>
      </c>
      <c r="C59" s="34" t="s">
        <v>171</v>
      </c>
      <c r="D59" s="119" t="s">
        <v>304</v>
      </c>
      <c r="E59" s="30" t="str">
        <f t="shared" si="0"/>
        <v>Cloest Sliding Set (6-panel) 72x81</v>
      </c>
      <c r="F59" s="24">
        <v>75</v>
      </c>
      <c r="G59" s="34" t="s">
        <v>171</v>
      </c>
    </row>
    <row r="60" spans="1:7" x14ac:dyDescent="0.2">
      <c r="A60" s="25" t="s">
        <v>183</v>
      </c>
      <c r="B60" s="24">
        <v>16.98</v>
      </c>
      <c r="C60" s="34" t="s">
        <v>180</v>
      </c>
      <c r="D60" s="119" t="s">
        <v>297</v>
      </c>
      <c r="E60" s="30" t="str">
        <f t="shared" si="0"/>
        <v>Hardware package (privacy)</v>
      </c>
      <c r="F60" s="24">
        <v>0</v>
      </c>
      <c r="G60" s="34" t="s">
        <v>171</v>
      </c>
    </row>
    <row r="61" spans="1:7" x14ac:dyDescent="0.2">
      <c r="A61" s="25" t="s">
        <v>184</v>
      </c>
      <c r="B61" s="24">
        <v>18.21</v>
      </c>
      <c r="C61" s="34" t="s">
        <v>180</v>
      </c>
      <c r="D61" s="119" t="s">
        <v>297</v>
      </c>
      <c r="E61" s="30" t="str">
        <f t="shared" si="0"/>
        <v>Hardware package (passage)</v>
      </c>
      <c r="F61" s="24">
        <v>0</v>
      </c>
      <c r="G61" s="34" t="s">
        <v>171</v>
      </c>
    </row>
    <row r="62" spans="1:7" x14ac:dyDescent="0.2">
      <c r="A62" s="25" t="s">
        <v>185</v>
      </c>
      <c r="B62" s="24">
        <v>25.32</v>
      </c>
      <c r="C62" s="34" t="s">
        <v>180</v>
      </c>
      <c r="D62" s="119" t="s">
        <v>297</v>
      </c>
      <c r="E62" s="30" t="str">
        <f t="shared" si="0"/>
        <v>Hardware package (entry)</v>
      </c>
      <c r="F62" s="24">
        <v>0</v>
      </c>
      <c r="G62" s="34" t="s">
        <v>171</v>
      </c>
    </row>
    <row r="63" spans="1:7" x14ac:dyDescent="0.2">
      <c r="A63" s="25" t="s">
        <v>298</v>
      </c>
      <c r="B63" s="24">
        <v>40.17</v>
      </c>
      <c r="C63" s="34" t="s">
        <v>180</v>
      </c>
      <c r="D63" s="119" t="s">
        <v>299</v>
      </c>
      <c r="E63" s="30" t="str">
        <f t="shared" ref="E63" si="5">A63</f>
        <v>Exterior Landlord Lock</v>
      </c>
      <c r="F63" s="24">
        <v>0</v>
      </c>
      <c r="G63" s="34" t="s">
        <v>171</v>
      </c>
    </row>
    <row r="64" spans="1:7" x14ac:dyDescent="0.2">
      <c r="A64" s="25" t="s">
        <v>296</v>
      </c>
      <c r="B64" s="24">
        <f>23.04*2</f>
        <v>46.08</v>
      </c>
      <c r="C64" s="34" t="s">
        <v>204</v>
      </c>
      <c r="D64" s="119" t="s">
        <v>295</v>
      </c>
      <c r="E64" s="30" t="str">
        <f t="shared" si="0"/>
        <v>Casing (pine finger-joint)</v>
      </c>
      <c r="F64" s="24">
        <v>40</v>
      </c>
      <c r="G64" s="34" t="s">
        <v>204</v>
      </c>
    </row>
    <row r="65" spans="1:7" x14ac:dyDescent="0.2">
      <c r="A65" s="25" t="s">
        <v>192</v>
      </c>
      <c r="B65" s="24">
        <v>0</v>
      </c>
      <c r="C65" s="34" t="s">
        <v>171</v>
      </c>
      <c r="E65" s="30" t="str">
        <f t="shared" si="0"/>
        <v>Custom</v>
      </c>
      <c r="F65" s="24">
        <v>0</v>
      </c>
      <c r="G65" s="34" t="s">
        <v>171</v>
      </c>
    </row>
    <row r="66" spans="1:7" x14ac:dyDescent="0.2">
      <c r="E66" s="30"/>
    </row>
    <row r="67" spans="1:7" x14ac:dyDescent="0.2">
      <c r="A67" s="29" t="s">
        <v>168</v>
      </c>
      <c r="B67" s="31" t="s">
        <v>141</v>
      </c>
      <c r="C67" s="33" t="s">
        <v>148</v>
      </c>
      <c r="D67" s="84"/>
      <c r="E67" s="82" t="str">
        <f t="shared" si="0"/>
        <v>Furnace</v>
      </c>
      <c r="F67" s="29" t="s">
        <v>147</v>
      </c>
      <c r="G67" s="33" t="s">
        <v>148</v>
      </c>
    </row>
    <row r="68" spans="1:7" x14ac:dyDescent="0.2">
      <c r="A68" s="25" t="s">
        <v>169</v>
      </c>
      <c r="B68" s="24">
        <v>175</v>
      </c>
      <c r="C68" s="34" t="s">
        <v>171</v>
      </c>
      <c r="E68" s="30" t="str">
        <f t="shared" si="0"/>
        <v>standard cover</v>
      </c>
      <c r="F68" s="24">
        <v>20</v>
      </c>
      <c r="G68" s="34" t="s">
        <v>171</v>
      </c>
    </row>
    <row r="69" spans="1:7" x14ac:dyDescent="0.2">
      <c r="A69" s="25" t="s">
        <v>170</v>
      </c>
      <c r="B69" s="24">
        <v>0</v>
      </c>
      <c r="C69" s="34" t="s">
        <v>165</v>
      </c>
      <c r="E69" s="30" t="str">
        <f t="shared" si="0"/>
        <v>standard replacement</v>
      </c>
      <c r="F69" s="24">
        <v>1200</v>
      </c>
      <c r="G69" s="34" t="s">
        <v>171</v>
      </c>
    </row>
    <row r="70" spans="1:7" x14ac:dyDescent="0.2">
      <c r="A70" s="25" t="s">
        <v>172</v>
      </c>
      <c r="B70" s="24">
        <v>0</v>
      </c>
      <c r="C70" s="34" t="s">
        <v>165</v>
      </c>
      <c r="E70" s="30" t="str">
        <f t="shared" si="0"/>
        <v>double replacement</v>
      </c>
      <c r="F70" s="24">
        <v>1500</v>
      </c>
      <c r="G70" s="34" t="s">
        <v>171</v>
      </c>
    </row>
    <row r="71" spans="1:7" x14ac:dyDescent="0.2">
      <c r="A71" s="25" t="s">
        <v>192</v>
      </c>
      <c r="B71" s="24">
        <v>0</v>
      </c>
      <c r="C71" s="34" t="s">
        <v>171</v>
      </c>
      <c r="E71" s="30" t="str">
        <f t="shared" si="0"/>
        <v>Custom</v>
      </c>
      <c r="F71" s="24">
        <v>0</v>
      </c>
      <c r="G71" s="34" t="s">
        <v>171</v>
      </c>
    </row>
    <row r="72" spans="1:7" x14ac:dyDescent="0.2">
      <c r="E72" s="30"/>
    </row>
    <row r="73" spans="1:7" x14ac:dyDescent="0.2">
      <c r="A73" s="29" t="s">
        <v>177</v>
      </c>
      <c r="B73" s="31" t="s">
        <v>141</v>
      </c>
      <c r="C73" s="33" t="s">
        <v>148</v>
      </c>
      <c r="D73" s="84"/>
      <c r="E73" s="82" t="str">
        <f t="shared" ref="E73:E124" si="6">A73</f>
        <v>Bathtub/Shower</v>
      </c>
      <c r="F73" s="29" t="s">
        <v>147</v>
      </c>
      <c r="G73" s="33" t="s">
        <v>148</v>
      </c>
    </row>
    <row r="74" spans="1:7" x14ac:dyDescent="0.2">
      <c r="A74" s="25" t="s">
        <v>186</v>
      </c>
      <c r="B74" s="24">
        <v>376</v>
      </c>
      <c r="C74" s="34" t="s">
        <v>171</v>
      </c>
      <c r="E74" s="30" t="str">
        <f t="shared" si="6"/>
        <v>surround (glue-up)</v>
      </c>
      <c r="F74" s="24">
        <v>0</v>
      </c>
      <c r="G74" s="34" t="s">
        <v>171</v>
      </c>
    </row>
    <row r="75" spans="1:7" x14ac:dyDescent="0.2">
      <c r="A75" s="25" t="s">
        <v>194</v>
      </c>
      <c r="B75" s="24">
        <f>299+33</f>
        <v>332</v>
      </c>
      <c r="C75" s="34" t="s">
        <v>171</v>
      </c>
      <c r="E75" s="30" t="str">
        <f t="shared" si="6"/>
        <v>tub + drain</v>
      </c>
      <c r="F75" s="24">
        <v>0</v>
      </c>
      <c r="G75" s="34" t="s">
        <v>171</v>
      </c>
    </row>
    <row r="76" spans="1:7" x14ac:dyDescent="0.2">
      <c r="A76" s="25" t="s">
        <v>187</v>
      </c>
      <c r="B76" s="24">
        <v>300</v>
      </c>
      <c r="C76" s="34" t="s">
        <v>171</v>
      </c>
      <c r="E76" s="30" t="str">
        <f t="shared" si="6"/>
        <v>surround (direct-to-stud)</v>
      </c>
      <c r="F76" s="24">
        <v>0</v>
      </c>
      <c r="G76" s="34" t="s">
        <v>171</v>
      </c>
    </row>
    <row r="77" spans="1:7" x14ac:dyDescent="0.2">
      <c r="A77" s="25" t="s">
        <v>235</v>
      </c>
      <c r="B77" s="24">
        <v>350</v>
      </c>
      <c r="C77" s="34" t="s">
        <v>171</v>
      </c>
      <c r="E77" s="30" t="str">
        <f t="shared" si="6"/>
        <v>shower pan</v>
      </c>
      <c r="F77" s="24">
        <v>250</v>
      </c>
      <c r="G77" s="34" t="s">
        <v>171</v>
      </c>
    </row>
    <row r="78" spans="1:7" x14ac:dyDescent="0.2">
      <c r="A78" s="25" t="s">
        <v>234</v>
      </c>
      <c r="B78" s="24">
        <v>1475</v>
      </c>
      <c r="C78" s="34" t="s">
        <v>171</v>
      </c>
      <c r="E78" s="30" t="str">
        <f t="shared" si="6"/>
        <v>standup shower kit + drain</v>
      </c>
      <c r="F78" s="24">
        <v>0</v>
      </c>
      <c r="G78" s="34" t="s">
        <v>171</v>
      </c>
    </row>
    <row r="79" spans="1:7" x14ac:dyDescent="0.2">
      <c r="A79" s="25" t="s">
        <v>240</v>
      </c>
      <c r="B79" s="24">
        <v>2</v>
      </c>
      <c r="C79" s="34" t="s">
        <v>129</v>
      </c>
      <c r="E79" s="30" t="str">
        <f t="shared" si="6"/>
        <v>tile surround 12x24</v>
      </c>
      <c r="F79" s="24">
        <v>15</v>
      </c>
      <c r="G79" s="34" t="s">
        <v>129</v>
      </c>
    </row>
    <row r="80" spans="1:7" x14ac:dyDescent="0.2">
      <c r="A80" s="25" t="s">
        <v>241</v>
      </c>
      <c r="B80" s="24">
        <v>1.4</v>
      </c>
      <c r="C80" s="34" t="s">
        <v>129</v>
      </c>
      <c r="E80" s="30" t="str">
        <f t="shared" si="6"/>
        <v>tile surround subway</v>
      </c>
      <c r="F80" s="24">
        <v>15</v>
      </c>
      <c r="G80" s="34" t="s">
        <v>129</v>
      </c>
    </row>
    <row r="81" spans="1:7" x14ac:dyDescent="0.2">
      <c r="A81" s="25" t="s">
        <v>338</v>
      </c>
      <c r="B81" s="24">
        <v>0</v>
      </c>
      <c r="C81" s="34" t="s">
        <v>171</v>
      </c>
      <c r="E81" s="30" t="str">
        <f t="shared" si="6"/>
        <v>reglaze (tub and surround)</v>
      </c>
      <c r="F81" s="24">
        <v>1000</v>
      </c>
      <c r="G81" s="34" t="s">
        <v>171</v>
      </c>
    </row>
    <row r="82" spans="1:7" x14ac:dyDescent="0.2">
      <c r="A82" s="25" t="s">
        <v>192</v>
      </c>
      <c r="B82" s="24">
        <v>0</v>
      </c>
      <c r="C82" s="34" t="s">
        <v>171</v>
      </c>
      <c r="E82" s="30" t="str">
        <f t="shared" si="6"/>
        <v>Custom</v>
      </c>
      <c r="F82" s="24">
        <v>0</v>
      </c>
      <c r="G82" s="34" t="s">
        <v>171</v>
      </c>
    </row>
    <row r="83" spans="1:7" x14ac:dyDescent="0.2">
      <c r="E83" s="30"/>
    </row>
    <row r="84" spans="1:7" x14ac:dyDescent="0.2">
      <c r="A84" s="29" t="s">
        <v>107</v>
      </c>
      <c r="B84" s="31" t="s">
        <v>141</v>
      </c>
      <c r="C84" s="33" t="s">
        <v>148</v>
      </c>
      <c r="D84" s="84"/>
      <c r="E84" s="82" t="str">
        <f t="shared" si="6"/>
        <v>Tile</v>
      </c>
      <c r="F84" s="29" t="s">
        <v>147</v>
      </c>
      <c r="G84" s="33" t="s">
        <v>148</v>
      </c>
    </row>
    <row r="85" spans="1:7" x14ac:dyDescent="0.2">
      <c r="A85" s="25" t="s">
        <v>178</v>
      </c>
      <c r="B85" s="24">
        <v>1.2</v>
      </c>
      <c r="C85" s="34" t="s">
        <v>129</v>
      </c>
      <c r="E85" s="30" t="str">
        <f t="shared" si="6"/>
        <v>subway backsplash</v>
      </c>
      <c r="F85" s="24">
        <v>15</v>
      </c>
      <c r="G85" s="34" t="s">
        <v>129</v>
      </c>
    </row>
    <row r="86" spans="1:7" x14ac:dyDescent="0.2">
      <c r="A86" s="25" t="s">
        <v>179</v>
      </c>
      <c r="B86" s="24">
        <v>2</v>
      </c>
      <c r="C86" s="34" t="s">
        <v>129</v>
      </c>
      <c r="E86" s="30" t="str">
        <f t="shared" si="6"/>
        <v>shower (12x24)</v>
      </c>
      <c r="F86" s="24">
        <v>15</v>
      </c>
      <c r="G86" s="34" t="s">
        <v>129</v>
      </c>
    </row>
    <row r="87" spans="1:7" x14ac:dyDescent="0.2">
      <c r="A87" s="25" t="s">
        <v>301</v>
      </c>
      <c r="B87" s="24">
        <f>60/8</f>
        <v>7.5</v>
      </c>
      <c r="C87" s="34" t="s">
        <v>131</v>
      </c>
      <c r="E87" s="30" t="str">
        <f t="shared" si="6"/>
        <v>4" Quartz</v>
      </c>
      <c r="F87" s="24">
        <v>0</v>
      </c>
      <c r="G87" s="34" t="s">
        <v>131</v>
      </c>
    </row>
    <row r="88" spans="1:7" x14ac:dyDescent="0.2">
      <c r="A88" s="25" t="s">
        <v>192</v>
      </c>
      <c r="B88" s="24">
        <v>0</v>
      </c>
      <c r="C88" s="34" t="s">
        <v>171</v>
      </c>
      <c r="E88" s="30" t="str">
        <f t="shared" si="6"/>
        <v>Custom</v>
      </c>
      <c r="F88" s="24">
        <v>0</v>
      </c>
      <c r="G88" s="34" t="s">
        <v>171</v>
      </c>
    </row>
    <row r="89" spans="1:7" x14ac:dyDescent="0.2">
      <c r="E89" s="30"/>
    </row>
    <row r="90" spans="1:7" x14ac:dyDescent="0.2">
      <c r="A90" s="29" t="s">
        <v>28</v>
      </c>
      <c r="B90" s="31" t="s">
        <v>141</v>
      </c>
      <c r="C90" s="33" t="s">
        <v>148</v>
      </c>
      <c r="D90" s="84"/>
      <c r="E90" s="82" t="str">
        <f t="shared" si="6"/>
        <v>Vanity</v>
      </c>
      <c r="F90" s="29" t="s">
        <v>147</v>
      </c>
      <c r="G90" s="33" t="s">
        <v>148</v>
      </c>
    </row>
    <row r="91" spans="1:7" x14ac:dyDescent="0.2">
      <c r="A91" s="25" t="s">
        <v>319</v>
      </c>
      <c r="B91" s="24">
        <v>361</v>
      </c>
      <c r="C91" s="34" t="s">
        <v>171</v>
      </c>
      <c r="E91" s="30" t="str">
        <f t="shared" si="6"/>
        <v>Standard PHD 30" + porc. top</v>
      </c>
      <c r="F91" s="24">
        <v>50</v>
      </c>
      <c r="G91" s="34" t="s">
        <v>171</v>
      </c>
    </row>
    <row r="92" spans="1:7" x14ac:dyDescent="0.2">
      <c r="A92" s="25" t="s">
        <v>320</v>
      </c>
      <c r="B92" s="24">
        <v>500</v>
      </c>
      <c r="C92" s="34" t="s">
        <v>171</v>
      </c>
      <c r="E92" s="30" t="str">
        <f t="shared" si="6"/>
        <v>Standard PHD 36" + porc. Top</v>
      </c>
      <c r="F92" s="24">
        <v>50</v>
      </c>
      <c r="G92" s="34" t="s">
        <v>171</v>
      </c>
    </row>
    <row r="93" spans="1:7" x14ac:dyDescent="0.2">
      <c r="A93" s="25" t="s">
        <v>192</v>
      </c>
      <c r="B93" s="24">
        <v>0</v>
      </c>
      <c r="C93" s="34" t="s">
        <v>171</v>
      </c>
      <c r="E93" s="30" t="str">
        <f t="shared" si="6"/>
        <v>Custom</v>
      </c>
      <c r="F93" s="24">
        <v>0</v>
      </c>
      <c r="G93" s="34" t="s">
        <v>171</v>
      </c>
    </row>
    <row r="94" spans="1:7" x14ac:dyDescent="0.2">
      <c r="E94" s="30"/>
    </row>
    <row r="95" spans="1:7" x14ac:dyDescent="0.2">
      <c r="A95" s="29" t="s">
        <v>189</v>
      </c>
      <c r="B95" s="31" t="s">
        <v>141</v>
      </c>
      <c r="C95" s="33" t="s">
        <v>148</v>
      </c>
      <c r="D95" s="84"/>
      <c r="E95" s="82" t="str">
        <f t="shared" ref="E95:E105" si="7">A95</f>
        <v>Electrical</v>
      </c>
      <c r="F95" s="29" t="s">
        <v>147</v>
      </c>
      <c r="G95" s="33" t="s">
        <v>148</v>
      </c>
    </row>
    <row r="96" spans="1:7" x14ac:dyDescent="0.2">
      <c r="A96" t="s">
        <v>190</v>
      </c>
      <c r="B96" s="24">
        <v>0</v>
      </c>
      <c r="C96" s="34" t="s">
        <v>165</v>
      </c>
      <c r="E96" s="30" t="str">
        <f t="shared" si="7"/>
        <v>Receptacles (TR)</v>
      </c>
      <c r="F96" s="24">
        <v>10</v>
      </c>
      <c r="G96" s="34" t="s">
        <v>171</v>
      </c>
    </row>
    <row r="97" spans="1:7" x14ac:dyDescent="0.2">
      <c r="A97" t="s">
        <v>276</v>
      </c>
      <c r="B97" s="24">
        <v>0</v>
      </c>
      <c r="C97" s="34" t="s">
        <v>165</v>
      </c>
      <c r="E97" s="30" t="str">
        <f t="shared" si="7"/>
        <v>Switches (smooth)</v>
      </c>
      <c r="F97" s="24">
        <v>10</v>
      </c>
      <c r="G97" s="34" t="s">
        <v>171</v>
      </c>
    </row>
    <row r="98" spans="1:7" x14ac:dyDescent="0.2">
      <c r="A98" t="s">
        <v>191</v>
      </c>
      <c r="B98" s="24">
        <v>20</v>
      </c>
      <c r="C98" s="34" t="s">
        <v>171</v>
      </c>
      <c r="E98" s="30" t="str">
        <f t="shared" si="7"/>
        <v>GFCI (TR)</v>
      </c>
      <c r="F98" s="24">
        <v>10</v>
      </c>
      <c r="G98" s="34" t="s">
        <v>171</v>
      </c>
    </row>
    <row r="99" spans="1:7" x14ac:dyDescent="0.2">
      <c r="A99" s="25" t="s">
        <v>206</v>
      </c>
      <c r="B99" s="24">
        <v>2</v>
      </c>
      <c r="C99" s="34" t="s">
        <v>171</v>
      </c>
      <c r="E99" s="30" t="str">
        <f t="shared" si="7"/>
        <v>Outlet Cover Only</v>
      </c>
      <c r="F99" s="24">
        <v>0</v>
      </c>
      <c r="G99" s="34" t="s">
        <v>171</v>
      </c>
    </row>
    <row r="100" spans="1:7" x14ac:dyDescent="0.2">
      <c r="A100" s="25" t="s">
        <v>212</v>
      </c>
      <c r="B100" s="24">
        <v>26</v>
      </c>
      <c r="C100" s="34" t="s">
        <v>171</v>
      </c>
      <c r="D100" s="119" t="s">
        <v>272</v>
      </c>
      <c r="E100" s="30" t="str">
        <f t="shared" si="7"/>
        <v>Flush Mount Light (amazon)</v>
      </c>
      <c r="F100" s="24">
        <v>25</v>
      </c>
      <c r="G100" s="34" t="s">
        <v>171</v>
      </c>
    </row>
    <row r="101" spans="1:7" x14ac:dyDescent="0.2">
      <c r="A101" s="25" t="s">
        <v>211</v>
      </c>
      <c r="B101" s="24">
        <v>51</v>
      </c>
      <c r="C101" s="34" t="s">
        <v>171</v>
      </c>
      <c r="D101" s="119" t="s">
        <v>269</v>
      </c>
      <c r="E101" s="30" t="str">
        <f t="shared" si="7"/>
        <v>Kitchen Light (track light amazon)</v>
      </c>
      <c r="F101" s="24">
        <v>25</v>
      </c>
      <c r="G101" s="34" t="s">
        <v>171</v>
      </c>
    </row>
    <row r="102" spans="1:7" x14ac:dyDescent="0.2">
      <c r="A102" s="25" t="s">
        <v>208</v>
      </c>
      <c r="B102" s="24">
        <v>50</v>
      </c>
      <c r="C102" s="34" t="s">
        <v>171</v>
      </c>
      <c r="E102" s="30" t="str">
        <f t="shared" si="7"/>
        <v>Bath Fan</v>
      </c>
      <c r="F102" s="24">
        <v>40</v>
      </c>
      <c r="G102" s="34" t="s">
        <v>171</v>
      </c>
    </row>
    <row r="103" spans="1:7" x14ac:dyDescent="0.2">
      <c r="A103" s="25" t="s">
        <v>236</v>
      </c>
      <c r="B103" s="24">
        <v>80</v>
      </c>
      <c r="C103" s="34" t="s">
        <v>171</v>
      </c>
      <c r="E103" s="30" t="str">
        <f t="shared" si="7"/>
        <v>Vanity Light (amazon)</v>
      </c>
      <c r="F103" s="24">
        <v>25</v>
      </c>
      <c r="G103" s="34" t="s">
        <v>171</v>
      </c>
    </row>
    <row r="104" spans="1:7" x14ac:dyDescent="0.2">
      <c r="A104" s="25" t="s">
        <v>34</v>
      </c>
      <c r="B104" s="24">
        <v>20</v>
      </c>
      <c r="C104" s="34" t="s">
        <v>171</v>
      </c>
      <c r="E104" s="30" t="str">
        <f t="shared" si="7"/>
        <v>Smoke/Carbon Detector</v>
      </c>
      <c r="F104" s="24">
        <v>0</v>
      </c>
      <c r="G104" s="34" t="s">
        <v>171</v>
      </c>
    </row>
    <row r="105" spans="1:7" x14ac:dyDescent="0.2">
      <c r="A105" s="25" t="s">
        <v>192</v>
      </c>
      <c r="B105" s="24">
        <v>0</v>
      </c>
      <c r="C105" s="34" t="s">
        <v>171</v>
      </c>
      <c r="E105" s="30" t="str">
        <f t="shared" si="7"/>
        <v>Custom</v>
      </c>
      <c r="F105" s="24">
        <v>0</v>
      </c>
      <c r="G105" s="34" t="s">
        <v>171</v>
      </c>
    </row>
    <row r="106" spans="1:7" x14ac:dyDescent="0.2">
      <c r="E106" s="30"/>
    </row>
    <row r="107" spans="1:7" x14ac:dyDescent="0.2">
      <c r="A107" s="29" t="s">
        <v>203</v>
      </c>
      <c r="B107" s="31" t="s">
        <v>141</v>
      </c>
      <c r="C107" s="33" t="s">
        <v>148</v>
      </c>
      <c r="D107" s="84"/>
      <c r="E107" s="82" t="str">
        <f>A107</f>
        <v>Bathroom Misc</v>
      </c>
      <c r="F107" s="29" t="s">
        <v>147</v>
      </c>
      <c r="G107" s="33" t="s">
        <v>148</v>
      </c>
    </row>
    <row r="108" spans="1:7" x14ac:dyDescent="0.2">
      <c r="A108" s="25" t="s">
        <v>176</v>
      </c>
      <c r="B108" s="24">
        <v>100</v>
      </c>
      <c r="C108" s="34" t="s">
        <v>171</v>
      </c>
      <c r="E108" s="30" t="str">
        <f t="shared" si="6"/>
        <v>Medicine Cabinet</v>
      </c>
      <c r="F108" s="24">
        <v>50</v>
      </c>
      <c r="G108" s="34" t="s">
        <v>171</v>
      </c>
    </row>
    <row r="109" spans="1:7" x14ac:dyDescent="0.2">
      <c r="A109" s="25" t="s">
        <v>210</v>
      </c>
      <c r="B109" s="24">
        <v>47</v>
      </c>
      <c r="C109" s="34" t="s">
        <v>171</v>
      </c>
      <c r="D109" s="119" t="s">
        <v>270</v>
      </c>
      <c r="E109" s="30" t="str">
        <f t="shared" si="6"/>
        <v>Faucet (amazon)</v>
      </c>
      <c r="F109" s="24">
        <v>25</v>
      </c>
      <c r="G109" s="34" t="s">
        <v>171</v>
      </c>
    </row>
    <row r="110" spans="1:7" x14ac:dyDescent="0.2">
      <c r="A110" s="25" t="s">
        <v>228</v>
      </c>
      <c r="B110" s="24">
        <v>3.5</v>
      </c>
      <c r="C110" s="34" t="s">
        <v>129</v>
      </c>
      <c r="E110" s="30" t="str">
        <f t="shared" si="6"/>
        <v>LVT (PHD)</v>
      </c>
      <c r="F110" s="24">
        <v>1.6</v>
      </c>
      <c r="G110" s="34" t="s">
        <v>129</v>
      </c>
    </row>
    <row r="111" spans="1:7" x14ac:dyDescent="0.2">
      <c r="A111" s="25" t="s">
        <v>229</v>
      </c>
      <c r="B111" s="24">
        <v>2</v>
      </c>
      <c r="C111" s="34" t="s">
        <v>129</v>
      </c>
      <c r="E111" s="30" t="str">
        <f t="shared" si="6"/>
        <v>12x24 Ceramic</v>
      </c>
      <c r="F111" s="24">
        <v>15</v>
      </c>
      <c r="G111" s="34" t="s">
        <v>129</v>
      </c>
    </row>
    <row r="112" spans="1:7" x14ac:dyDescent="0.2">
      <c r="A112" s="25" t="s">
        <v>192</v>
      </c>
      <c r="B112" s="24">
        <v>0</v>
      </c>
      <c r="C112" s="34" t="s">
        <v>171</v>
      </c>
      <c r="E112" s="30" t="str">
        <f t="shared" si="6"/>
        <v>Custom</v>
      </c>
      <c r="F112" s="24">
        <v>0</v>
      </c>
      <c r="G112" s="34" t="s">
        <v>171</v>
      </c>
    </row>
    <row r="113" spans="1:7" x14ac:dyDescent="0.2">
      <c r="A113" s="25"/>
      <c r="E113" s="30"/>
    </row>
    <row r="114" spans="1:7" x14ac:dyDescent="0.2">
      <c r="A114" s="29" t="s">
        <v>214</v>
      </c>
      <c r="B114" s="31" t="s">
        <v>141</v>
      </c>
      <c r="C114" s="33" t="s">
        <v>148</v>
      </c>
      <c r="D114" s="84"/>
      <c r="E114" s="82" t="str">
        <f>A114</f>
        <v>Kitchen Misc</v>
      </c>
      <c r="F114" s="29" t="s">
        <v>147</v>
      </c>
      <c r="G114" s="33" t="s">
        <v>148</v>
      </c>
    </row>
    <row r="115" spans="1:7" x14ac:dyDescent="0.2">
      <c r="A115" s="25" t="s">
        <v>213</v>
      </c>
      <c r="B115" s="24">
        <v>75</v>
      </c>
      <c r="C115" s="34" t="s">
        <v>171</v>
      </c>
      <c r="D115" s="119" t="s">
        <v>268</v>
      </c>
      <c r="E115" s="30" t="str">
        <f t="shared" si="6"/>
        <v>Kitchen Faucet (amazon)</v>
      </c>
      <c r="F115" s="24">
        <v>50</v>
      </c>
      <c r="G115" s="34" t="s">
        <v>171</v>
      </c>
    </row>
    <row r="116" spans="1:7" x14ac:dyDescent="0.2">
      <c r="A116" s="25" t="s">
        <v>215</v>
      </c>
      <c r="B116" s="24">
        <v>139</v>
      </c>
      <c r="C116" s="34" t="s">
        <v>171</v>
      </c>
      <c r="E116" s="30" t="str">
        <f t="shared" si="6"/>
        <v>Kitchen Sink (PHD undermount)</v>
      </c>
      <c r="F116" s="24">
        <v>25</v>
      </c>
      <c r="G116" s="34" t="s">
        <v>171</v>
      </c>
    </row>
    <row r="117" spans="1:7" x14ac:dyDescent="0.2">
      <c r="A117" s="25" t="s">
        <v>216</v>
      </c>
      <c r="B117" s="24">
        <v>100</v>
      </c>
      <c r="C117" s="34" t="s">
        <v>171</v>
      </c>
      <c r="E117" s="30" t="str">
        <f t="shared" si="6"/>
        <v>Home Depot Overmount Package</v>
      </c>
      <c r="F117" s="24">
        <v>75</v>
      </c>
      <c r="G117" s="34" t="s">
        <v>171</v>
      </c>
    </row>
    <row r="118" spans="1:7" x14ac:dyDescent="0.2">
      <c r="A118" s="25" t="s">
        <v>192</v>
      </c>
      <c r="B118" s="24">
        <v>0</v>
      </c>
      <c r="C118" s="34" t="s">
        <v>171</v>
      </c>
      <c r="E118" s="30" t="str">
        <f t="shared" si="6"/>
        <v>Custom</v>
      </c>
      <c r="F118" s="24">
        <v>0</v>
      </c>
      <c r="G118" s="34" t="s">
        <v>171</v>
      </c>
    </row>
    <row r="119" spans="1:7" x14ac:dyDescent="0.2">
      <c r="E119" s="30"/>
    </row>
    <row r="120" spans="1:7" x14ac:dyDescent="0.2">
      <c r="A120" s="29" t="s">
        <v>231</v>
      </c>
      <c r="B120" s="31" t="s">
        <v>141</v>
      </c>
      <c r="C120" s="33" t="s">
        <v>148</v>
      </c>
      <c r="D120" s="84"/>
      <c r="E120" s="82" t="str">
        <f>A120</f>
        <v>Plumbing</v>
      </c>
      <c r="F120" s="29" t="s">
        <v>147</v>
      </c>
      <c r="G120" s="33" t="s">
        <v>148</v>
      </c>
    </row>
    <row r="121" spans="1:7" x14ac:dyDescent="0.2">
      <c r="A121" s="25" t="s">
        <v>232</v>
      </c>
      <c r="B121" s="24">
        <f>75+32</f>
        <v>107</v>
      </c>
      <c r="C121" s="34" t="s">
        <v>171</v>
      </c>
      <c r="E121" s="30" t="str">
        <f t="shared" si="6"/>
        <v>Bath/Shower trim kit</v>
      </c>
      <c r="F121" s="24">
        <v>400</v>
      </c>
      <c r="G121" s="34" t="s">
        <v>171</v>
      </c>
    </row>
    <row r="122" spans="1:7" x14ac:dyDescent="0.2">
      <c r="A122" s="25" t="s">
        <v>233</v>
      </c>
      <c r="B122" s="24">
        <v>9.8699999999999992</v>
      </c>
      <c r="C122" s="34" t="s">
        <v>171</v>
      </c>
      <c r="D122" s="119" t="s">
        <v>283</v>
      </c>
      <c r="E122" s="30" t="str">
        <f t="shared" si="6"/>
        <v>Quarter Turn Valves</v>
      </c>
      <c r="F122" s="32">
        <v>50</v>
      </c>
      <c r="G122" s="34" t="s">
        <v>171</v>
      </c>
    </row>
    <row r="123" spans="1:7" x14ac:dyDescent="0.2">
      <c r="A123" s="25" t="s">
        <v>310</v>
      </c>
      <c r="B123" s="24">
        <v>162.76</v>
      </c>
      <c r="C123" s="34" t="s">
        <v>171</v>
      </c>
      <c r="D123" s="119" t="s">
        <v>311</v>
      </c>
      <c r="E123" s="30" t="str">
        <f t="shared" si="6"/>
        <v>Toilet</v>
      </c>
      <c r="F123" s="24">
        <v>75</v>
      </c>
      <c r="G123" s="34" t="s">
        <v>171</v>
      </c>
    </row>
    <row r="124" spans="1:7" x14ac:dyDescent="0.2">
      <c r="A124" s="25" t="s">
        <v>192</v>
      </c>
      <c r="B124" s="24">
        <v>0</v>
      </c>
      <c r="C124" s="34" t="s">
        <v>171</v>
      </c>
      <c r="E124" s="30" t="str">
        <f t="shared" si="6"/>
        <v>Custom</v>
      </c>
      <c r="F124" s="24">
        <v>0</v>
      </c>
      <c r="G124" s="34" t="s">
        <v>171</v>
      </c>
    </row>
    <row r="126" spans="1:7" x14ac:dyDescent="0.2">
      <c r="A126" s="29" t="s">
        <v>280</v>
      </c>
      <c r="B126" s="31" t="s">
        <v>141</v>
      </c>
      <c r="C126" s="33" t="s">
        <v>148</v>
      </c>
      <c r="D126" s="84"/>
      <c r="E126" s="82" t="str">
        <f>A126</f>
        <v>Blinds</v>
      </c>
      <c r="F126" s="29" t="s">
        <v>147</v>
      </c>
      <c r="G126" s="33" t="s">
        <v>148</v>
      </c>
    </row>
    <row r="127" spans="1:7" x14ac:dyDescent="0.2">
      <c r="A127" s="25" t="s">
        <v>312</v>
      </c>
      <c r="B127" s="24">
        <v>60</v>
      </c>
      <c r="C127" s="34" t="s">
        <v>171</v>
      </c>
      <c r="D127" s="119" t="s">
        <v>281</v>
      </c>
      <c r="E127" s="30" t="str">
        <f>A127</f>
        <v>2in Faux (average)</v>
      </c>
      <c r="F127" s="24">
        <v>0</v>
      </c>
      <c r="G127" s="34" t="s">
        <v>171</v>
      </c>
    </row>
    <row r="128" spans="1:7" x14ac:dyDescent="0.2">
      <c r="A128" s="25" t="s">
        <v>314</v>
      </c>
      <c r="B128" s="24">
        <v>40</v>
      </c>
      <c r="C128" s="34" t="s">
        <v>171</v>
      </c>
      <c r="E128" s="30" t="str">
        <f>A128</f>
        <v>Metal (average)</v>
      </c>
      <c r="F128" s="24">
        <v>0</v>
      </c>
      <c r="G128" s="34" t="s">
        <v>171</v>
      </c>
    </row>
    <row r="129" spans="1:7" x14ac:dyDescent="0.2">
      <c r="A129" s="25" t="s">
        <v>192</v>
      </c>
      <c r="B129" s="24">
        <v>0</v>
      </c>
      <c r="C129" s="34" t="s">
        <v>171</v>
      </c>
      <c r="E129" s="30" t="str">
        <f>A129</f>
        <v>Custom</v>
      </c>
      <c r="F129" s="24">
        <v>0</v>
      </c>
      <c r="G129" s="34" t="s">
        <v>171</v>
      </c>
    </row>
  </sheetData>
  <hyperlinks>
    <hyperlink ref="D115" r:id="rId1" xr:uid="{F5255FF9-8AD2-4E2B-92F2-866B726B7DB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Walkthrough (Counts)</vt:lpstr>
      <vt:lpstr>Walthrough (Layout)</vt:lpstr>
      <vt:lpstr>Bid Underwriting</vt:lpstr>
      <vt:lpstr>Final Bid (Bulk)</vt:lpstr>
      <vt:lpstr>Final Bid (Itemized)</vt:lpstr>
      <vt:lpstr>Interior Schedule</vt:lpstr>
      <vt:lpstr>Material &amp; Labor 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Budka</dc:creator>
  <cp:lastModifiedBy>Alex Budka</cp:lastModifiedBy>
  <cp:lastPrinted>2020-11-10T21:15:01Z</cp:lastPrinted>
  <dcterms:created xsi:type="dcterms:W3CDTF">2020-10-17T00:05:20Z</dcterms:created>
  <dcterms:modified xsi:type="dcterms:W3CDTF">2020-11-12T17:41:44Z</dcterms:modified>
</cp:coreProperties>
</file>