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ocuments\CV Tirta Kusuma\20230801 District 9\RAB\"/>
    </mc:Choice>
  </mc:AlternateContent>
  <xr:revisionPtr revIDLastSave="0" documentId="13_ncr:1_{33F0E406-5BAB-4E4C-B4B9-3E45976CAB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KAP" sheetId="1" r:id="rId1"/>
    <sheet name="RAB" sheetId="2" r:id="rId2"/>
    <sheet name="REKAP  POOL" sheetId="3" r:id="rId3"/>
    <sheet name="RAB POOL" sheetId="4" r:id="rId4"/>
    <sheet name="Analisa" sheetId="6" r:id="rId5"/>
    <sheet name="AN BETON" sheetId="7" r:id="rId6"/>
    <sheet name="AN KUSEN" sheetId="8" r:id="rId7"/>
    <sheet name="MOU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K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W">#REF!</definedName>
    <definedName name="\X">#REF!</definedName>
    <definedName name="\Y">#REF!</definedName>
    <definedName name="\Z">#REF!</definedName>
    <definedName name="___________________________MMM19">'[1]4-Basic Price'!$F$71</definedName>
    <definedName name="__________________________MMM19">'[2]4-Basic Price'!$F$69</definedName>
    <definedName name="_________________________DIV1">[1]BOQ!$G$19</definedName>
    <definedName name="_________________________DIV10">[1]BOQ!$G$312</definedName>
    <definedName name="_________________________DIV2">[1]BOQ!$G$37</definedName>
    <definedName name="_________________________DIV5">[1]BOQ!$G$86</definedName>
    <definedName name="_________________________DIV7">[1]BOQ!$G$225</definedName>
    <definedName name="_________________________DIV8">[1]BOQ!$G$275</definedName>
    <definedName name="_________________________DIV9">[1]BOQ!$G$301</definedName>
    <definedName name="_________________________LLL01">'[1]4-Basic Price'!$F$8</definedName>
    <definedName name="_________________________LLL03">'[3]4-Basic Price'!$F$10</definedName>
    <definedName name="_________________________MMM10">'[2]4-Basic Price'!$F$57</definedName>
    <definedName name="_________________________MMM12">'[2]4-Basic Price'!$F$60</definedName>
    <definedName name="_________________________MMM16">'[2]4-Basic Price'!$F$65</definedName>
    <definedName name="_________________________MMM18">'[3]4-Basic Price'!$F$68</definedName>
    <definedName name="_________________________MMM19">'[3]4-Basic Price'!$F$69</definedName>
    <definedName name="_________________________MMM26">'[2]4-Basic Price'!$F$76</definedName>
    <definedName name="_________________________MMM27">'[2]4-Basic Price'!$F$77</definedName>
    <definedName name="_________________________MMM37">'[2]4-Basic Price'!$F$88</definedName>
    <definedName name="_________________________MMM39">'[2]4-Basic Price'!$F$89</definedName>
    <definedName name="_________________________MMM44">'[2]4-Basic Price'!$F$96</definedName>
    <definedName name="_________________________MMM47">'[2]4-Basic Price'!$F$99</definedName>
    <definedName name="_________________________MMM48">'[3]4-Basic Price'!$F$100</definedName>
    <definedName name="________________________DIV1">[2]BOQ!$G$29</definedName>
    <definedName name="________________________DIV10">[2]BOQ!$G$384</definedName>
    <definedName name="________________________DIV2">[2]BOQ!$G$54</definedName>
    <definedName name="________________________DIV3">[2]BOQ!$G$78</definedName>
    <definedName name="________________________DIV4">[2]BOQ!$G$91</definedName>
    <definedName name="________________________DIV5">[2]BOQ!$G$108</definedName>
    <definedName name="________________________DIV6">[1]BOQ!$G$124</definedName>
    <definedName name="________________________DIV7">[2]BOQ!$G$289</definedName>
    <definedName name="________________________DIV8">[2]BOQ!$G$347</definedName>
    <definedName name="________________________DIV9">[2]BOQ!$G$373</definedName>
    <definedName name="________________________EEE02">'[3]5-ALAT(1)'!$AW$9</definedName>
    <definedName name="________________________EEE05">'[3]5-ALAT(1)'!$AW$12</definedName>
    <definedName name="________________________EEE06">'[3]5-ALAT(1)'!$AW$13</definedName>
    <definedName name="________________________EEE07">'[3]5-ALAT(1)'!$AW$14</definedName>
    <definedName name="________________________EEE08">'[3]5-ALAT(1)'!$AW$15</definedName>
    <definedName name="________________________EEE09">'[3]5-ALAT(1)'!$AW$16</definedName>
    <definedName name="________________________EEE10">'[3]5-ALAT(1)'!$AW$17</definedName>
    <definedName name="________________________EEE11">'[3]5-ALAT(1)'!$AW$18</definedName>
    <definedName name="________________________EEE13">'[3]5-ALAT(1)'!$AW$20</definedName>
    <definedName name="________________________EEE15">'[3]5-ALAT(1)'!$AW$22</definedName>
    <definedName name="________________________EEE16">'[3]5-ALAT(1)'!$AW$23</definedName>
    <definedName name="________________________EEE17">'[3]5-ALAT(1)'!$AW$24</definedName>
    <definedName name="________________________EEE22">'[3]5-ALAT(1)'!$AW$29</definedName>
    <definedName name="________________________EEE23">'[3]5-ALAT(1)'!$AW$30</definedName>
    <definedName name="________________________EEE27">'[3]5-ALAT(1)'!$AW$34</definedName>
    <definedName name="________________________EEE29">'[3]5-ALAT(1)'!$AW$36</definedName>
    <definedName name="________________________LLL01">'[3]4-Basic Price'!$F$8</definedName>
    <definedName name="________________________LLL02">'[3]4-Basic Price'!$F$9</definedName>
    <definedName name="________________________LLL03">'[2]4-Basic Price'!$F$10</definedName>
    <definedName name="________________________MMM03">'[2]4-Basic Price'!$F$50</definedName>
    <definedName name="________________________MMM04">'[2]4-Basic Price'!$F$51</definedName>
    <definedName name="________________________MMM10">'[4]Harga bhn dan upah'!$F$60</definedName>
    <definedName name="________________________MMM11">'[2]4-Basic Price'!$F$59</definedName>
    <definedName name="________________________MMM12">'[3]4-Basic Price'!$F$60</definedName>
    <definedName name="________________________MMM16">'[3]4-Basic Price'!$F$65</definedName>
    <definedName name="________________________MMM18">'[2]4-Basic Price'!$F$68</definedName>
    <definedName name="________________________MMM19">'[4]Harga bhn dan upah'!$F$72</definedName>
    <definedName name="________________________MMM26">'[3]4-Basic Price'!$F$76</definedName>
    <definedName name="________________________MMM27">'[3]4-Basic Price'!$F$77</definedName>
    <definedName name="________________________MMM37">'[3]4-Basic Price'!$F$88</definedName>
    <definedName name="________________________MMM39">'[3]4-Basic Price'!$F$89</definedName>
    <definedName name="________________________MMM44">'[3]4-Basic Price'!$F$96</definedName>
    <definedName name="________________________MMM47">'[3]4-Basic Price'!$F$99</definedName>
    <definedName name="________________________MMM48">'[2]4-Basic Price'!$F$100</definedName>
    <definedName name="_______________________DIV1">[3]BOQ!$G$29</definedName>
    <definedName name="_______________________DIV10">[3]BOQ!$G$388</definedName>
    <definedName name="_______________________DIV2">[3]BOQ!$G$54</definedName>
    <definedName name="_______________________DIV3">[3]BOQ!$G$78</definedName>
    <definedName name="_______________________DIV4">[3]BOQ!$G$91</definedName>
    <definedName name="_______________________DIV5">[3]BOQ!$G$108</definedName>
    <definedName name="_______________________DIV6">[3]BOQ!$G$162</definedName>
    <definedName name="_______________________DIV7">[3]BOQ!$G$291</definedName>
    <definedName name="_______________________DIV8">[3]BOQ!$G$351</definedName>
    <definedName name="_______________________DIV9">[3]BOQ!$G$377</definedName>
    <definedName name="_______________________EEE02">'[3]5-ALAT(1)'!$AW$9</definedName>
    <definedName name="_______________________EEE05">'[3]5-ALAT(1)'!$AW$12</definedName>
    <definedName name="_______________________EEE06">'[3]5-ALAT(1)'!$AW$13</definedName>
    <definedName name="_______________________EEE07">'[3]5-ALAT(1)'!$AW$14</definedName>
    <definedName name="_______________________EEE08">'[3]5-ALAT(1)'!$AW$15</definedName>
    <definedName name="_______________________EEE09">'[3]5-ALAT(1)'!$AW$16</definedName>
    <definedName name="_______________________EEE10">'[3]5-ALAT(1)'!$AW$17</definedName>
    <definedName name="_______________________EEE11">'[3]5-ALAT(1)'!$AW$18</definedName>
    <definedName name="_______________________EEE13">'[3]5-ALAT(1)'!$AW$20</definedName>
    <definedName name="_______________________EEE15">'[3]5-ALAT(1)'!$AW$22</definedName>
    <definedName name="_______________________EEE16">'[3]5-ALAT(1)'!$AW$23</definedName>
    <definedName name="_______________________EEE17">'[3]5-ALAT(1)'!$AW$24</definedName>
    <definedName name="_______________________EEE19">'[3]5-ALAT(1)'!$AW$26</definedName>
    <definedName name="_______________________EEE22">'[3]5-ALAT(1)'!$AW$29</definedName>
    <definedName name="_______________________EEE23">'[3]5-ALAT(1)'!$AW$30</definedName>
    <definedName name="_______________________EEE27">'[3]5-ALAT(1)'!$AW$34</definedName>
    <definedName name="_______________________EEE29">'[3]5-ALAT(1)'!$AW$36</definedName>
    <definedName name="_______________________EEE31">'[3]5-ALAT(1)'!$AW$38</definedName>
    <definedName name="_______________________LLL01">'[2]4-Basic Price'!$F$8</definedName>
    <definedName name="_______________________LLL02">'[2]4-Basic Price'!$F$9</definedName>
    <definedName name="_______________________LLL03">'[3]4-Basic Price'!$F$10</definedName>
    <definedName name="_______________________MMM03">'[3]4-Basic Price'!$F$50</definedName>
    <definedName name="_______________________MMM04">'[3]4-Basic Price'!$F$51</definedName>
    <definedName name="_______________________MMM10">'[3]4-Basic Price'!$F$57</definedName>
    <definedName name="_______________________MMM11">'[3]4-Basic Price'!$F$59</definedName>
    <definedName name="_______________________MMM12">'[3]4-Basic Price'!$F$60</definedName>
    <definedName name="_______________________MMM16">'[3]4-Basic Price'!$F$65</definedName>
    <definedName name="_______________________MMM18">'[3]4-Basic Price'!$F$68</definedName>
    <definedName name="_______________________MMM19">'[3]4-Basic Price'!$F$69</definedName>
    <definedName name="_______________________MMM26">'[3]4-Basic Price'!$F$76</definedName>
    <definedName name="_______________________MMM27">'[3]4-Basic Price'!$F$77</definedName>
    <definedName name="_______________________MMM37">'[3]4-Basic Price'!$F$88</definedName>
    <definedName name="_______________________MMM39">'[3]4-Basic Price'!$F$89</definedName>
    <definedName name="_______________________MMM44">'[3]4-Basic Price'!$F$96</definedName>
    <definedName name="_______________________MMM47">'[3]4-Basic Price'!$F$99</definedName>
    <definedName name="_______________________MMM48">'[3]4-Basic Price'!$F$100</definedName>
    <definedName name="______________________DIV1">[3]BOQ!$G$29</definedName>
    <definedName name="______________________DIV10">[3]BOQ!$G$388</definedName>
    <definedName name="______________________DIV2">[3]BOQ!$G$54</definedName>
    <definedName name="______________________DIV3">[3]BOQ!$G$78</definedName>
    <definedName name="______________________DIV4">[3]BOQ!$G$91</definedName>
    <definedName name="______________________DIV5">[3]BOQ!$G$108</definedName>
    <definedName name="______________________DIV6">[3]BOQ!$G$162</definedName>
    <definedName name="______________________DIV7">[3]BOQ!$G$291</definedName>
    <definedName name="______________________DIV8">[3]BOQ!$G$351</definedName>
    <definedName name="______________________DIV9">[3]BOQ!$G$377</definedName>
    <definedName name="______________________EEE02">'[3]5-ALAT(1)'!$AW$9</definedName>
    <definedName name="______________________EEE05">'[3]5-ALAT(1)'!$AW$12</definedName>
    <definedName name="______________________EEE06">'[3]5-ALAT(1)'!$AW$13</definedName>
    <definedName name="______________________EEE07">'[3]5-ALAT(1)'!$AW$14</definedName>
    <definedName name="______________________EEE08">'[3]5-ALAT(1)'!$AW$15</definedName>
    <definedName name="______________________EEE09">'[3]5-ALAT(1)'!$AW$16</definedName>
    <definedName name="______________________EEE10">'[3]5-ALAT(1)'!$AW$17</definedName>
    <definedName name="______________________EEE11">'[3]5-ALAT(1)'!$AW$18</definedName>
    <definedName name="______________________EEE13">'[3]5-ALAT(1)'!$AW$20</definedName>
    <definedName name="______________________EEE15">'[3]5-ALAT(1)'!$AW$22</definedName>
    <definedName name="______________________EEE16">'[3]5-ALAT(1)'!$AW$23</definedName>
    <definedName name="______________________EEE17">'[3]5-ALAT(1)'!$AW$24</definedName>
    <definedName name="______________________EEE19">'[3]5-ALAT(1)'!$AW$26</definedName>
    <definedName name="______________________EEE22">'[3]5-ALAT(1)'!$AW$29</definedName>
    <definedName name="______________________EEE23">'[3]5-ALAT(1)'!$AW$30</definedName>
    <definedName name="______________________EEE27">'[3]5-ALAT(1)'!$AW$34</definedName>
    <definedName name="______________________EEE29">'[3]5-ALAT(1)'!$AW$36</definedName>
    <definedName name="______________________EEE31">'[3]5-ALAT(1)'!$AW$38</definedName>
    <definedName name="______________________LLL01">'[3]4-Basic Price'!$F$8</definedName>
    <definedName name="______________________LLL02">'[3]4-Basic Price'!$F$9</definedName>
    <definedName name="______________________LLL03">'[3]4-Basic Price'!$F$10</definedName>
    <definedName name="______________________MMM03">'[3]4-Basic Price'!$F$50</definedName>
    <definedName name="______________________MMM04">'[3]4-Basic Price'!$F$51</definedName>
    <definedName name="______________________MMM05">'[3]4-Basic Price'!$F$52</definedName>
    <definedName name="______________________MMM10">'[3]4-Basic Price'!$F$57</definedName>
    <definedName name="______________________MMM11">'[3]4-Basic Price'!$F$59</definedName>
    <definedName name="______________________MMM12">'[3]4-Basic Price'!$F$60</definedName>
    <definedName name="______________________MMM16">'[3]4-Basic Price'!$F$65</definedName>
    <definedName name="______________________MMM18">'[3]4-Basic Price'!$F$68</definedName>
    <definedName name="______________________MMM19">'[3]4-Basic Price'!$F$69</definedName>
    <definedName name="______________________MMM26">'[3]4-Basic Price'!$F$76</definedName>
    <definedName name="______________________MMM27">'[3]4-Basic Price'!$F$77</definedName>
    <definedName name="______________________MMM37">'[3]4-Basic Price'!$F$88</definedName>
    <definedName name="______________________MMM39">'[3]4-Basic Price'!$F$89</definedName>
    <definedName name="______________________MMM44">'[3]4-Basic Price'!$F$96</definedName>
    <definedName name="______________________MMM47">'[3]4-Basic Price'!$F$99</definedName>
    <definedName name="______________________MMM48">'[3]4-Basic Price'!$F$100</definedName>
    <definedName name="_____________________DIV1">[3]BOQ!$G$29</definedName>
    <definedName name="_____________________DIV10">[3]BOQ!$G$388</definedName>
    <definedName name="_____________________DIV2">[3]BOQ!$G$54</definedName>
    <definedName name="_____________________DIV3">[3]BOQ!$G$78</definedName>
    <definedName name="_____________________DIV4">[3]BOQ!$G$91</definedName>
    <definedName name="_____________________DIV5">[3]BOQ!$G$108</definedName>
    <definedName name="_____________________DIV6">[3]BOQ!$G$162</definedName>
    <definedName name="_____________________DIV7">[3]BOQ!$G$291</definedName>
    <definedName name="_____________________DIV8">[3]BOQ!$G$351</definedName>
    <definedName name="_____________________DIV9">[3]BOQ!$G$377</definedName>
    <definedName name="_____________________EEE02">'[3]5-ALAT(1)'!$AW$9</definedName>
    <definedName name="_____________________EEE05">'[3]5-ALAT(1)'!$AW$12</definedName>
    <definedName name="_____________________EEE06">'[3]5-ALAT(1)'!$AW$13</definedName>
    <definedName name="_____________________EEE07">'[3]5-ALAT(1)'!$AW$14</definedName>
    <definedName name="_____________________EEE08">'[3]5-ALAT(1)'!$AW$15</definedName>
    <definedName name="_____________________EEE09">'[3]5-ALAT(1)'!$AW$16</definedName>
    <definedName name="_____________________EEE10">'[3]5-ALAT(1)'!$AW$17</definedName>
    <definedName name="_____________________EEE11">'[3]5-ALAT(1)'!$AW$18</definedName>
    <definedName name="_____________________EEE13">'[3]5-ALAT(1)'!$AW$20</definedName>
    <definedName name="_____________________EEE15">'[3]5-ALAT(1)'!$AW$22</definedName>
    <definedName name="_____________________EEE16">'[3]5-ALAT(1)'!$AW$23</definedName>
    <definedName name="_____________________EEE17">'[3]5-ALAT(1)'!$AW$24</definedName>
    <definedName name="_____________________EEE19">'[3]5-ALAT(1)'!$AW$26</definedName>
    <definedName name="_____________________EEE22">'[3]5-ALAT(1)'!$AW$29</definedName>
    <definedName name="_____________________EEE23">'[3]5-ALAT(1)'!$AW$30</definedName>
    <definedName name="_____________________EEE27">'[3]5-ALAT(1)'!$AW$34</definedName>
    <definedName name="_____________________EEE29">'[3]5-ALAT(1)'!$AW$36</definedName>
    <definedName name="_____________________EEE31">'[3]5-ALAT(1)'!$AW$38</definedName>
    <definedName name="_____________________LLL01">'[3]4-Basic Price'!$F$8</definedName>
    <definedName name="_____________________LLL02">'[3]4-Basic Price'!$F$9</definedName>
    <definedName name="_____________________LLL03">'[3]4-Basic Price'!$F$10</definedName>
    <definedName name="_____________________MMM03">'[3]4-Basic Price'!$F$50</definedName>
    <definedName name="_____________________MMM04">'[3]4-Basic Price'!$F$51</definedName>
    <definedName name="_____________________MMM05">'[3]4-Basic Price'!$F$52</definedName>
    <definedName name="_____________________MMM10">'[3]4-Basic Price'!$F$57</definedName>
    <definedName name="_____________________MMM11">'[3]4-Basic Price'!$F$59</definedName>
    <definedName name="_____________________MMM12">'[3]4-Basic Price'!$F$60</definedName>
    <definedName name="_____________________MMM16">'[3]4-Basic Price'!$F$65</definedName>
    <definedName name="_____________________MMM18">'[3]4-Basic Price'!$F$68</definedName>
    <definedName name="_____________________MMM19">'[3]4-Basic Price'!$F$69</definedName>
    <definedName name="_____________________MMM26">'[3]4-Basic Price'!$F$76</definedName>
    <definedName name="_____________________MMM27">'[3]4-Basic Price'!$F$77</definedName>
    <definedName name="_____________________MMM37">'[3]4-Basic Price'!$F$88</definedName>
    <definedName name="_____________________MMM39">'[3]4-Basic Price'!$F$89</definedName>
    <definedName name="_____________________MMM44">'[3]4-Basic Price'!$F$96</definedName>
    <definedName name="_____________________MMM47">'[3]4-Basic Price'!$F$99</definedName>
    <definedName name="_____________________MMM48">'[3]4-Basic Price'!$F$100</definedName>
    <definedName name="____________________DIV1">[3]BOQ!$G$29</definedName>
    <definedName name="____________________DIV10">[3]BOQ!$G$388</definedName>
    <definedName name="____________________DIV2">[3]BOQ!$G$54</definedName>
    <definedName name="____________________DIV3">[3]BOQ!$G$78</definedName>
    <definedName name="____________________DIV4">[3]BOQ!$G$91</definedName>
    <definedName name="____________________DIV5">[3]BOQ!$G$108</definedName>
    <definedName name="____________________DIV6">[3]BOQ!$G$162</definedName>
    <definedName name="____________________DIV7">[3]BOQ!$G$291</definedName>
    <definedName name="____________________DIV8">[3]BOQ!$G$351</definedName>
    <definedName name="____________________DIV9">[3]BOQ!$G$377</definedName>
    <definedName name="____________________EEE02">'[3]5-ALAT(1)'!$AW$9</definedName>
    <definedName name="____________________EEE05">'[3]5-ALAT(1)'!$AW$12</definedName>
    <definedName name="____________________EEE06">'[3]5-ALAT(1)'!$AW$13</definedName>
    <definedName name="____________________EEE07">'[3]5-ALAT(1)'!$AW$14</definedName>
    <definedName name="____________________EEE08">'[3]5-ALAT(1)'!$AW$15</definedName>
    <definedName name="____________________EEE09">'[3]5-ALAT(1)'!$AW$16</definedName>
    <definedName name="____________________EEE10">'[3]5-ALAT(1)'!$AW$17</definedName>
    <definedName name="____________________EEE11">'[3]5-ALAT(1)'!$AW$18</definedName>
    <definedName name="____________________EEE13">'[3]5-ALAT(1)'!$AW$20</definedName>
    <definedName name="____________________EEE15">'[3]5-ALAT(1)'!$AW$22</definedName>
    <definedName name="____________________EEE16">'[3]5-ALAT(1)'!$AW$23</definedName>
    <definedName name="____________________EEE17">'[3]5-ALAT(1)'!$AW$24</definedName>
    <definedName name="____________________EEE19">'[3]5-ALAT(1)'!$AW$26</definedName>
    <definedName name="____________________EEE22">'[3]5-ALAT(1)'!$AW$29</definedName>
    <definedName name="____________________EEE23">'[3]5-ALAT(1)'!$AW$30</definedName>
    <definedName name="____________________EEE27">'[3]5-ALAT(1)'!$AW$34</definedName>
    <definedName name="____________________EEE29">'[3]5-ALAT(1)'!$AW$36</definedName>
    <definedName name="____________________EEE31">'[3]5-ALAT(1)'!$AW$38</definedName>
    <definedName name="____________________LLL01">'[3]4-Basic Price'!$F$8</definedName>
    <definedName name="____________________LLL02">'[3]4-Basic Price'!$F$9</definedName>
    <definedName name="____________________LLL03">'[3]4-Basic Price'!$F$10</definedName>
    <definedName name="____________________MMM03">'[3]4-Basic Price'!$F$50</definedName>
    <definedName name="____________________MMM04">'[3]4-Basic Price'!$F$51</definedName>
    <definedName name="____________________MMM05">'[3]4-Basic Price'!$F$52</definedName>
    <definedName name="____________________MMM10">'[3]4-Basic Price'!$F$57</definedName>
    <definedName name="____________________MMM11">'[3]4-Basic Price'!$F$59</definedName>
    <definedName name="____________________MMM12">'[3]4-Basic Price'!$F$60</definedName>
    <definedName name="____________________MMM16">'[3]4-Basic Price'!$F$65</definedName>
    <definedName name="____________________MMM18">'[3]4-Basic Price'!$F$68</definedName>
    <definedName name="____________________MMM19">'[3]4-Basic Price'!$F$69</definedName>
    <definedName name="____________________MMM26">'[3]4-Basic Price'!$F$76</definedName>
    <definedName name="____________________MMM27">'[3]4-Basic Price'!$F$77</definedName>
    <definedName name="____________________MMM37">'[3]4-Basic Price'!$F$88</definedName>
    <definedName name="____________________MMM39">'[3]4-Basic Price'!$F$89</definedName>
    <definedName name="____________________MMM44">'[3]4-Basic Price'!$F$96</definedName>
    <definedName name="____________________MMM47">'[3]4-Basic Price'!$F$99</definedName>
    <definedName name="____________________MMM48">'[3]4-Basic Price'!$F$100</definedName>
    <definedName name="___________________DIV1">[3]BOQ!$G$29</definedName>
    <definedName name="___________________DIV10">[3]BOQ!$G$388</definedName>
    <definedName name="___________________DIV2">[3]BOQ!$G$54</definedName>
    <definedName name="___________________DIV3">[3]BOQ!$G$78</definedName>
    <definedName name="___________________DIV4">[3]BOQ!$G$91</definedName>
    <definedName name="___________________DIV5">[3]BOQ!$G$108</definedName>
    <definedName name="___________________DIV6">[3]BOQ!$G$162</definedName>
    <definedName name="___________________DIV7">[3]BOQ!$G$291</definedName>
    <definedName name="___________________DIV8">[3]BOQ!$G$351</definedName>
    <definedName name="___________________DIV9">[3]BOQ!$G$377</definedName>
    <definedName name="___________________EEE02">'[3]5-ALAT(1)'!$AW$9</definedName>
    <definedName name="___________________EEE05">'[3]5-ALAT(1)'!$AW$12</definedName>
    <definedName name="___________________EEE06">'[3]5-ALAT(1)'!$AW$13</definedName>
    <definedName name="___________________EEE07">'[3]5-ALAT(1)'!$AW$14</definedName>
    <definedName name="___________________EEE08">'[3]5-ALAT(1)'!$AW$15</definedName>
    <definedName name="___________________EEE09">'[3]5-ALAT(1)'!$AW$16</definedName>
    <definedName name="___________________EEE10">'[3]5-ALAT(1)'!$AW$17</definedName>
    <definedName name="___________________EEE11">'[3]5-ALAT(1)'!$AW$18</definedName>
    <definedName name="___________________EEE13">'[3]5-ALAT(1)'!$AW$20</definedName>
    <definedName name="___________________EEE15">'[3]5-ALAT(1)'!$AW$22</definedName>
    <definedName name="___________________EEE16">'[3]5-ALAT(1)'!$AW$23</definedName>
    <definedName name="___________________EEE17">'[3]5-ALAT(1)'!$AW$24</definedName>
    <definedName name="___________________EEE19">'[3]5-ALAT(1)'!$AW$26</definedName>
    <definedName name="___________________EEE22">'[3]5-ALAT(1)'!$AW$29</definedName>
    <definedName name="___________________EEE23">'[3]5-ALAT(1)'!$AW$30</definedName>
    <definedName name="___________________EEE27">'[3]5-ALAT(1)'!$AW$34</definedName>
    <definedName name="___________________EEE29">'[3]5-ALAT(1)'!$AW$36</definedName>
    <definedName name="___________________EEE31">'[3]5-ALAT(1)'!$AW$38</definedName>
    <definedName name="___________________LLL01">'[3]4-Basic Price'!$F$8</definedName>
    <definedName name="___________________LLL02">'[3]4-Basic Price'!$F$9</definedName>
    <definedName name="___________________LLL03">'[3]4-Basic Price'!$F$10</definedName>
    <definedName name="___________________MMM03">'[3]4-Basic Price'!$F$50</definedName>
    <definedName name="___________________MMM04">'[3]4-Basic Price'!$F$51</definedName>
    <definedName name="___________________MMM05">'[3]4-Basic Price'!$F$52</definedName>
    <definedName name="___________________MMM10">'[3]4-Basic Price'!$F$57</definedName>
    <definedName name="___________________MMM11">'[3]4-Basic Price'!$F$59</definedName>
    <definedName name="___________________MMM12">'[3]4-Basic Price'!$F$60</definedName>
    <definedName name="___________________MMM16">'[3]4-Basic Price'!$F$65</definedName>
    <definedName name="___________________MMM18">'[3]4-Basic Price'!$F$68</definedName>
    <definedName name="___________________MMM19">'[3]4-Basic Price'!$F$69</definedName>
    <definedName name="___________________MMM26">'[3]4-Basic Price'!$F$76</definedName>
    <definedName name="___________________MMM27">'[3]4-Basic Price'!$F$77</definedName>
    <definedName name="___________________MMM37">'[3]4-Basic Price'!$F$88</definedName>
    <definedName name="___________________MMM39">'[3]4-Basic Price'!$F$89</definedName>
    <definedName name="___________________MMM44">'[3]4-Basic Price'!$F$96</definedName>
    <definedName name="___________________MMM47">'[3]4-Basic Price'!$F$99</definedName>
    <definedName name="___________________MMM48">'[3]4-Basic Price'!$F$100</definedName>
    <definedName name="__________________DIV1">[3]BOQ!$G$29</definedName>
    <definedName name="__________________DIV10">[3]BOQ!$G$388</definedName>
    <definedName name="__________________DIV2">[3]BOQ!$G$54</definedName>
    <definedName name="__________________DIV3">[3]BOQ!$G$78</definedName>
    <definedName name="__________________DIV4">[3]BOQ!$G$91</definedName>
    <definedName name="__________________DIV5">[3]BOQ!$G$108</definedName>
    <definedName name="__________________DIV6">[3]BOQ!$G$162</definedName>
    <definedName name="__________________DIV7">[3]BOQ!$G$291</definedName>
    <definedName name="__________________DIV8">[3]BOQ!$G$351</definedName>
    <definedName name="__________________DIV9">[3]BOQ!$G$377</definedName>
    <definedName name="__________________EEE02">'[2]5-ALAT(1)'!$AX$9</definedName>
    <definedName name="__________________EEE05">'[2]5-ALAT(1)'!$AX$12</definedName>
    <definedName name="__________________EEE06">'[2]5-ALAT(1)'!$AX$13</definedName>
    <definedName name="__________________EEE07">'[2]5-ALAT(1)'!$AX$14</definedName>
    <definedName name="__________________EEE08">'[2]5-ALAT(1)'!$AX$15</definedName>
    <definedName name="__________________EEE09">'[2]5-ALAT(1)'!$AX$16</definedName>
    <definedName name="__________________EEE10">'[2]5-ALAT(1)'!$AX$17</definedName>
    <definedName name="__________________EEE11">'[2]5-ALAT(1)'!$AX$18</definedName>
    <definedName name="__________________EEE13">'[2]5-ALAT(1)'!$AX$20</definedName>
    <definedName name="__________________EEE15">'[2]5-ALAT(1)'!$AX$22</definedName>
    <definedName name="__________________EEE16">'[2]5-ALAT(1)'!$AX$23</definedName>
    <definedName name="__________________EEE17">'[2]5-ALAT(1)'!$AX$24</definedName>
    <definedName name="__________________EEE19">'[3]5-ALAT(1)'!$AW$26</definedName>
    <definedName name="__________________EEE22">'[2]5-ALAT(1)'!$AX$29</definedName>
    <definedName name="__________________EEE23">'[2]5-ALAT(1)'!$AX$30</definedName>
    <definedName name="__________________EEE27">'[2]5-ALAT(1)'!$AX$34</definedName>
    <definedName name="__________________EEE29">'[2]5-ALAT(1)'!$AX$36</definedName>
    <definedName name="__________________EEE31">'[3]5-ALAT(1)'!$AW$38</definedName>
    <definedName name="__________________LLL01">'[3]4-Basic Price'!$F$8</definedName>
    <definedName name="__________________LLL02">'[3]4-Basic Price'!$F$9</definedName>
    <definedName name="__________________LLL03">'[3]4-Basic Price'!$F$10</definedName>
    <definedName name="__________________MMM03">'[3]4-Basic Price'!$F$50</definedName>
    <definedName name="__________________MMM04">'[3]4-Basic Price'!$F$51</definedName>
    <definedName name="__________________MMM05">'[3]4-Basic Price'!$F$52</definedName>
    <definedName name="__________________MMM10">'[3]4-Basic Price'!$F$57</definedName>
    <definedName name="__________________MMM11">'[3]4-Basic Price'!$F$59</definedName>
    <definedName name="__________________MMM12">'[3]4-Basic Price'!$F$60</definedName>
    <definedName name="__________________MMM16">'[3]4-Basic Price'!$F$65</definedName>
    <definedName name="__________________MMM18">'[3]4-Basic Price'!$F$68</definedName>
    <definedName name="__________________MMM19">'[3]4-Basic Price'!$F$69</definedName>
    <definedName name="__________________MMM26">'[3]4-Basic Price'!$F$76</definedName>
    <definedName name="__________________MMM27">'[3]4-Basic Price'!$F$77</definedName>
    <definedName name="__________________MMM37">'[3]4-Basic Price'!$F$88</definedName>
    <definedName name="__________________MMM39">'[3]4-Basic Price'!$F$89</definedName>
    <definedName name="__________________MMM44">'[3]4-Basic Price'!$F$96</definedName>
    <definedName name="__________________MMM47">'[3]4-Basic Price'!$F$99</definedName>
    <definedName name="__________________MMM48">'[3]4-Basic Price'!$F$100</definedName>
    <definedName name="_________________DIV1">[3]BOQ!$G$29</definedName>
    <definedName name="_________________DIV10">[3]BOQ!$G$388</definedName>
    <definedName name="_________________DIV2">[3]BOQ!$G$54</definedName>
    <definedName name="_________________DIV3">[3]BOQ!$G$78</definedName>
    <definedName name="_________________DIV4">[3]BOQ!$G$91</definedName>
    <definedName name="_________________DIV5">[3]BOQ!$G$108</definedName>
    <definedName name="_________________DIV6">[3]BOQ!$G$162</definedName>
    <definedName name="_________________DIV7">[3]BOQ!$G$291</definedName>
    <definedName name="_________________DIV8">[3]BOQ!$G$351</definedName>
    <definedName name="_________________DIV9">[3]BOQ!$G$377</definedName>
    <definedName name="_________________EEE02">'[3]5-ALAT(1)'!$AW$9</definedName>
    <definedName name="_________________EEE05">'[3]5-ALAT(1)'!$AW$12</definedName>
    <definedName name="_________________EEE06">'[3]5-ALAT(1)'!$AW$13</definedName>
    <definedName name="_________________EEE07">'[3]5-ALAT(1)'!$AW$14</definedName>
    <definedName name="_________________EEE08">'[3]5-ALAT(1)'!$AW$15</definedName>
    <definedName name="_________________EEE09">'[3]5-ALAT(1)'!$AW$16</definedName>
    <definedName name="_________________EEE10">'[3]5-ALAT(1)'!$AW$17</definedName>
    <definedName name="_________________EEE11">'[3]5-ALAT(1)'!$AW$18</definedName>
    <definedName name="_________________EEE13">'[3]5-ALAT(1)'!$AW$20</definedName>
    <definedName name="_________________EEE15">'[3]5-ALAT(1)'!$AW$22</definedName>
    <definedName name="_________________EEE16">'[3]5-ALAT(1)'!$AW$23</definedName>
    <definedName name="_________________EEE17">'[3]5-ALAT(1)'!$AW$24</definedName>
    <definedName name="_________________EEE19">'[2]5-ALAT(1)'!$AX$26</definedName>
    <definedName name="_________________EEE22">'[3]5-ALAT(1)'!$AW$29</definedName>
    <definedName name="_________________EEE23">'[3]5-ALAT(1)'!$AW$30</definedName>
    <definedName name="_________________EEE27">'[3]5-ALAT(1)'!$AW$34</definedName>
    <definedName name="_________________EEE29">'[3]5-ALAT(1)'!$AW$36</definedName>
    <definedName name="_________________EEE31">'[2]5-ALAT(1)'!$AX$38</definedName>
    <definedName name="_________________LLL01">'[3]4-Basic Price'!$F$8</definedName>
    <definedName name="_________________LLL02">'[3]4-Basic Price'!$F$9</definedName>
    <definedName name="_________________LLL03">'[1]4-Basic Price'!$F$10</definedName>
    <definedName name="_________________MMM03">'[3]4-Basic Price'!$F$50</definedName>
    <definedName name="_________________MMM04">'[3]4-Basic Price'!$F$51</definedName>
    <definedName name="_________________MMM05">'[3]4-Basic Price'!$F$52</definedName>
    <definedName name="_________________MMM10">'[3]4-Basic Price'!$F$57</definedName>
    <definedName name="_________________MMM11">'[3]4-Basic Price'!$F$59</definedName>
    <definedName name="_________________MMM18">'[1]4-Basic Price'!$F$70</definedName>
    <definedName name="_________________MMM19">'[5]4-Basic Price'!$F$69</definedName>
    <definedName name="_________________MMM37">'[1]4-Basic Price'!$F$90</definedName>
    <definedName name="_________________MMM39">'[1]4-Basic Price'!$F$91</definedName>
    <definedName name="_________________MMM44">'[1]4-Basic Price'!$F$98</definedName>
    <definedName name="________________DIV1">[3]BOQ!$G$29</definedName>
    <definedName name="________________DIV10">[3]BOQ!$G$388</definedName>
    <definedName name="________________DIV2">[3]BOQ!$G$54</definedName>
    <definedName name="________________DIV3">[3]BOQ!$G$78</definedName>
    <definedName name="________________DIV4">[3]BOQ!$G$91</definedName>
    <definedName name="________________DIV5">[3]BOQ!$G$108</definedName>
    <definedName name="________________DIV6">[3]BOQ!$G$162</definedName>
    <definedName name="________________DIV7">[3]BOQ!$G$291</definedName>
    <definedName name="________________DIV8">[3]BOQ!$G$351</definedName>
    <definedName name="________________DIV9">[3]BOQ!$G$377</definedName>
    <definedName name="________________EEE02">'[3]5-ALAT(1)'!$AW$9</definedName>
    <definedName name="________________EEE05">'[3]5-ALAT(1)'!$AW$12</definedName>
    <definedName name="________________EEE06">'[3]5-ALAT(1)'!$AW$13</definedName>
    <definedName name="________________EEE07">'[3]5-ALAT(1)'!$AW$14</definedName>
    <definedName name="________________EEE08">'[3]5-ALAT(1)'!$AW$15</definedName>
    <definedName name="________________EEE09">'[3]5-ALAT(1)'!$AW$16</definedName>
    <definedName name="________________EEE10">'[3]5-ALAT(1)'!$AW$17</definedName>
    <definedName name="________________EEE11">'[3]5-ALAT(1)'!$AW$18</definedName>
    <definedName name="________________EEE13">'[3]5-ALAT(1)'!$AW$20</definedName>
    <definedName name="________________EEE15">'[3]5-ALAT(1)'!$AW$22</definedName>
    <definedName name="________________EEE16">'[3]5-ALAT(1)'!$AW$23</definedName>
    <definedName name="________________EEE17">'[3]5-ALAT(1)'!$AW$24</definedName>
    <definedName name="________________EEE19">'[3]5-ALAT(1)'!$AW$26</definedName>
    <definedName name="________________EEE22">'[3]5-ALAT(1)'!$AW$29</definedName>
    <definedName name="________________EEE23">'[3]5-ALAT(1)'!$AW$30</definedName>
    <definedName name="________________EEE27">'[3]5-ALAT(1)'!$AW$34</definedName>
    <definedName name="________________EEE29">'[3]5-ALAT(1)'!$AW$36</definedName>
    <definedName name="________________EEE31">'[3]5-ALAT(1)'!$AW$38</definedName>
    <definedName name="________________LLL01">'[4]Harga bhn dan upah'!$F$9</definedName>
    <definedName name="________________LLL02">'[1]4-Basic Price'!$F$9</definedName>
    <definedName name="________________LLL03">'[3]4-Basic Price'!$F$10</definedName>
    <definedName name="________________MMM05">'[3]4-Basic Price'!$F$52</definedName>
    <definedName name="________________MMM10">'[5]4-Basic Price'!$F$57</definedName>
    <definedName name="________________MMM12">'[3]4-Basic Price'!$F$60</definedName>
    <definedName name="________________MMM16">'[3]4-Basic Price'!$F$65</definedName>
    <definedName name="________________MMM18">'[3]4-Basic Price'!$F$68</definedName>
    <definedName name="________________MMM19">'[3]4-Basic Price'!$F$69</definedName>
    <definedName name="________________MMM26">'[3]4-Basic Price'!$F$76</definedName>
    <definedName name="________________MMM27">'[3]4-Basic Price'!$F$77</definedName>
    <definedName name="________________MMM37">'[3]4-Basic Price'!$F$88</definedName>
    <definedName name="________________MMM39">'[3]4-Basic Price'!$F$89</definedName>
    <definedName name="________________MMM44">'[3]4-Basic Price'!$F$96</definedName>
    <definedName name="________________MMM47">'[3]4-Basic Price'!$F$99</definedName>
    <definedName name="________________MMM48">'[3]4-Basic Price'!$F$100</definedName>
    <definedName name="_______________DIV1">[2]BOQ!$G$29</definedName>
    <definedName name="_______________DIV10">[2]BOQ!$G$384</definedName>
    <definedName name="_______________DIV2">[2]BOQ!$G$54</definedName>
    <definedName name="_______________DIV3">[2]BOQ!$G$78</definedName>
    <definedName name="_______________DIV4">[2]BOQ!$G$91</definedName>
    <definedName name="_______________DIV5">[2]BOQ!$G$108</definedName>
    <definedName name="_______________DIV6">[2]BOQ!$G$162</definedName>
    <definedName name="_______________DIV7">[2]BOQ!$G$289</definedName>
    <definedName name="_______________DIV8">[2]BOQ!$G$347</definedName>
    <definedName name="_______________DIV9">[2]BOQ!$G$373</definedName>
    <definedName name="_______________EEE02">'[3]5-ALAT(1)'!$AW$9</definedName>
    <definedName name="_______________EEE05">'[3]5-ALAT(1)'!$AW$12</definedName>
    <definedName name="_______________EEE06">'[3]5-ALAT(1)'!$AW$13</definedName>
    <definedName name="_______________EEE07">'[3]5-ALAT(1)'!$AW$14</definedName>
    <definedName name="_______________EEE08">'[3]5-ALAT(1)'!$AW$15</definedName>
    <definedName name="_______________EEE09">'[3]5-ALAT(1)'!$AW$16</definedName>
    <definedName name="_______________EEE10">'[3]5-ALAT(1)'!$AW$17</definedName>
    <definedName name="_______________EEE11">'[3]5-ALAT(1)'!$AW$18</definedName>
    <definedName name="_______________EEE13">'[3]5-ALAT(1)'!$AW$20</definedName>
    <definedName name="_______________EEE15">'[3]5-ALAT(1)'!$AW$22</definedName>
    <definedName name="_______________EEE16">'[3]5-ALAT(1)'!$AW$23</definedName>
    <definedName name="_______________EEE17">'[3]5-ALAT(1)'!$AW$24</definedName>
    <definedName name="_______________EEE19">'[3]5-ALAT(1)'!$AW$26</definedName>
    <definedName name="_______________EEE22">'[3]5-ALAT(1)'!$AW$29</definedName>
    <definedName name="_______________EEE23">'[3]5-ALAT(1)'!$AW$30</definedName>
    <definedName name="_______________EEE27">'[3]5-ALAT(1)'!$AW$34</definedName>
    <definedName name="_______________EEE29">'[3]5-ALAT(1)'!$AW$36</definedName>
    <definedName name="_______________EEE31">'[3]5-ALAT(1)'!$AW$38</definedName>
    <definedName name="_______________LLL01">'[3]4-Basic Price'!$F$8</definedName>
    <definedName name="_______________LLL02">'[3]4-Basic Price'!$F$9</definedName>
    <definedName name="_______________LLL03">'[6]4-Basic Price'!$F$10</definedName>
    <definedName name="_______________MMM03">'[3]4-Basic Price'!$F$50</definedName>
    <definedName name="_______________MMM04">'[3]4-Basic Price'!$F$51</definedName>
    <definedName name="_______________MMM10">'[3]4-Basic Price'!$F$57</definedName>
    <definedName name="_______________MMM11">'[3]4-Basic Price'!$F$59</definedName>
    <definedName name="_______________MMM12">'[3]4-Basic Price'!$F$60</definedName>
    <definedName name="_______________MMM16">'[3]4-Basic Price'!$F$65</definedName>
    <definedName name="_______________MMM18">'[6]4-Basic Price'!$F$71</definedName>
    <definedName name="_______________MMM19">'[6]4-Basic Price'!$F$72</definedName>
    <definedName name="_______________MMM26">'[3]4-Basic Price'!$F$76</definedName>
    <definedName name="_______________MMM27">'[3]4-Basic Price'!$F$77</definedName>
    <definedName name="_______________MMM37">'[3]4-Basic Price'!$F$88</definedName>
    <definedName name="_______________MMM39">'[3]4-Basic Price'!$F$89</definedName>
    <definedName name="_______________MMM44">'[3]4-Basic Price'!$F$96</definedName>
    <definedName name="_______________MMM47">'[3]4-Basic Price'!$F$99</definedName>
    <definedName name="_______________MMM48">'[6]4-Basic Price'!$F$104</definedName>
    <definedName name="______________DIV1">[3]BOQ!$G$29</definedName>
    <definedName name="______________DIV10">[3]BOQ!$G$388</definedName>
    <definedName name="______________DIV2">[3]BOQ!$G$54</definedName>
    <definedName name="______________DIV3">[3]BOQ!$G$78</definedName>
    <definedName name="______________DIV4">[3]BOQ!$G$91</definedName>
    <definedName name="______________DIV5">[3]BOQ!$G$108</definedName>
    <definedName name="______________DIV6">[3]BOQ!$G$162</definedName>
    <definedName name="______________DIV7">[3]BOQ!$G$291</definedName>
    <definedName name="______________DIV8">[3]BOQ!$G$351</definedName>
    <definedName name="______________DIV9">[3]BOQ!$G$377</definedName>
    <definedName name="______________EEE02">'[6]5-ALAT(1)'!$AW$9</definedName>
    <definedName name="______________EEE05">'[6]5-ALAT(1)'!$AW$12</definedName>
    <definedName name="______________EEE06">'[6]5-ALAT(1)'!$AW$13</definedName>
    <definedName name="______________EEE07">'[6]5-ALAT(1)'!$AW$14</definedName>
    <definedName name="______________EEE08">'[6]5-ALAT(1)'!$AW$15</definedName>
    <definedName name="______________EEE09">'[6]5-ALAT(1)'!$AW$16</definedName>
    <definedName name="______________EEE10">'[6]5-ALAT(1)'!$AW$17</definedName>
    <definedName name="______________EEE11">'[6]5-ALAT(1)'!$AW$18</definedName>
    <definedName name="______________EEE13">'[6]5-ALAT(1)'!$AW$20</definedName>
    <definedName name="______________EEE15">'[6]5-ALAT(1)'!$AW$22</definedName>
    <definedName name="______________EEE16">'[6]5-ALAT(1)'!$AW$23</definedName>
    <definedName name="______________EEE17">'[6]5-ALAT(1)'!$AW$24</definedName>
    <definedName name="______________EEE19">'[3]5-ALAT(1)'!$AW$26</definedName>
    <definedName name="______________EEE22">'[6]5-ALAT(1)'!$AW$29</definedName>
    <definedName name="______________EEE23">'[6]5-ALAT(1)'!$AW$30</definedName>
    <definedName name="______________EEE27">'[6]5-ALAT(1)'!$AW$34</definedName>
    <definedName name="______________EEE29">'[6]5-ALAT(1)'!$AW$36</definedName>
    <definedName name="______________EEE31">'[3]5-ALAT(1)'!$AW$38</definedName>
    <definedName name="______________LLL01">'[6]4-Basic Price'!$F$8</definedName>
    <definedName name="______________LLL02">'[6]4-Basic Price'!$F$9</definedName>
    <definedName name="______________LLL03">'[7]4-Basic Price'!$F$10</definedName>
    <definedName name="______________MMM03">'[3]4-Basic Price'!$F$50</definedName>
    <definedName name="______________MMM04">'[3]4-Basic Price'!$F$51</definedName>
    <definedName name="______________MMM05">'[3]4-Basic Price'!$F$52</definedName>
    <definedName name="______________MMM10">'[3]4-Basic Price'!$F$57</definedName>
    <definedName name="______________MMM11">'[3]4-Basic Price'!$F$59</definedName>
    <definedName name="______________MMM12">'[6]4-Basic Price'!$F$63</definedName>
    <definedName name="______________MMM16">'[6]4-Basic Price'!$F$68</definedName>
    <definedName name="______________MMM18">'[7]4-Basic Price'!$F$71</definedName>
    <definedName name="______________MMM19">'[7]4-Basic Price'!$F$72</definedName>
    <definedName name="______________MMM26">'[6]4-Basic Price'!$F$79</definedName>
    <definedName name="______________MMM27">'[6]4-Basic Price'!$F$80</definedName>
    <definedName name="______________MMM37">'[6]4-Basic Price'!$F$92</definedName>
    <definedName name="______________MMM39">'[6]4-Basic Price'!$F$93</definedName>
    <definedName name="______________MMM44">'[6]4-Basic Price'!$F$100</definedName>
    <definedName name="______________MMM47">'[6]4-Basic Price'!$F$103</definedName>
    <definedName name="______________MMM48">'[7]4-Basic Price'!$F$104</definedName>
    <definedName name="_____________EEE02">'[7]5-ALAT(1)'!$AW$9</definedName>
    <definedName name="_____________EEE05">'[7]5-ALAT(1)'!$AW$12</definedName>
    <definedName name="_____________EEE06">'[7]5-ALAT(1)'!$AW$13</definedName>
    <definedName name="_____________EEE07">'[7]5-ALAT(1)'!$AW$14</definedName>
    <definedName name="_____________EEE08">'[7]5-ALAT(1)'!$AW$15</definedName>
    <definedName name="_____________EEE09">'[7]5-ALAT(1)'!$AW$16</definedName>
    <definedName name="_____________EEE10">'[7]5-ALAT(1)'!$AW$17</definedName>
    <definedName name="_____________EEE11">'[7]5-ALAT(1)'!$AW$18</definedName>
    <definedName name="_____________EEE13">'[7]5-ALAT(1)'!$AW$20</definedName>
    <definedName name="_____________EEE15">'[7]5-ALAT(1)'!$AW$22</definedName>
    <definedName name="_____________EEE16">'[7]5-ALAT(1)'!$AW$23</definedName>
    <definedName name="_____________EEE17">'[7]5-ALAT(1)'!$AW$24</definedName>
    <definedName name="_____________EEE19">'[6]5-ALAT(1)'!$AW$26</definedName>
    <definedName name="_____________EEE22">'[7]5-ALAT(1)'!$AW$29</definedName>
    <definedName name="_____________EEE23">'[7]5-ALAT(1)'!$AW$30</definedName>
    <definedName name="_____________EEE27">'[7]5-ALAT(1)'!$AW$34</definedName>
    <definedName name="_____________EEE29">'[7]5-ALAT(1)'!$AW$36</definedName>
    <definedName name="_____________EEE31">'[6]5-ALAT(1)'!$AW$38</definedName>
    <definedName name="_____________LLL01">'[7]4-Basic Price'!$F$8</definedName>
    <definedName name="_____________LLL02">'[7]4-Basic Price'!$F$9</definedName>
    <definedName name="_____________LLL03">'[3]4-Basic Price'!$F$10</definedName>
    <definedName name="_____________MMM03">'[6]4-Basic Price'!$F$53</definedName>
    <definedName name="_____________MMM04">'[6]4-Basic Price'!$F$54</definedName>
    <definedName name="_____________MMM05">'[3]4-Basic Price'!$F$52</definedName>
    <definedName name="_____________MMM10">'[6]4-Basic Price'!$F$60</definedName>
    <definedName name="_____________MMM11">'[6]4-Basic Price'!$F$62</definedName>
    <definedName name="_____________MMM12">'[7]4-Basic Price'!$F$63</definedName>
    <definedName name="_____________MMM16">'[7]4-Basic Price'!$F$68</definedName>
    <definedName name="_____________MMM18">'[3]4-Basic Price'!$F$68</definedName>
    <definedName name="_____________MMM19">'[3]4-Basic Price'!$F$69</definedName>
    <definedName name="_____________MMM26">'[7]4-Basic Price'!$F$79</definedName>
    <definedName name="_____________MMM27">'[7]4-Basic Price'!$F$80</definedName>
    <definedName name="_____________MMM37">'[7]4-Basic Price'!$F$92</definedName>
    <definedName name="_____________MMM39">'[7]4-Basic Price'!$F$93</definedName>
    <definedName name="_____________MMM44">'[7]4-Basic Price'!$F$100</definedName>
    <definedName name="_____________MMM47">'[7]4-Basic Price'!$F$103</definedName>
    <definedName name="_____________MMM48">'[3]4-Basic Price'!$F$100</definedName>
    <definedName name="____________DIV1">[3]BOQ!$G$29</definedName>
    <definedName name="____________DIV10">[3]BOQ!$G$388</definedName>
    <definedName name="____________DIV2">[3]BOQ!$G$54</definedName>
    <definedName name="____________DIV3">[3]BOQ!$G$78</definedName>
    <definedName name="____________DIV4">[3]BOQ!$G$91</definedName>
    <definedName name="____________DIV5">[3]BOQ!$G$108</definedName>
    <definedName name="____________DIV6">[3]BOQ!$G$162</definedName>
    <definedName name="____________DIV7">[3]BOQ!$G$291</definedName>
    <definedName name="____________DIV8">[3]BOQ!$G$351</definedName>
    <definedName name="____________DIV9">[3]BOQ!$G$377</definedName>
    <definedName name="____________EEE02">'[3]5-ALAT(1)'!$AW$9</definedName>
    <definedName name="____________EEE05">'[3]5-ALAT(1)'!$AW$12</definedName>
    <definedName name="____________EEE06">'[3]5-ALAT(1)'!$AW$13</definedName>
    <definedName name="____________EEE07">'[3]5-ALAT(1)'!$AW$14</definedName>
    <definedName name="____________EEE08">'[3]5-ALAT(1)'!$AW$15</definedName>
    <definedName name="____________EEE09">'[3]5-ALAT(1)'!$AW$16</definedName>
    <definedName name="____________EEE10">'[3]5-ALAT(1)'!$AW$17</definedName>
    <definedName name="____________EEE11">'[3]5-ALAT(1)'!$AW$18</definedName>
    <definedName name="____________EEE13">'[3]5-ALAT(1)'!$AW$20</definedName>
    <definedName name="____________EEE15">'[3]5-ALAT(1)'!$AW$22</definedName>
    <definedName name="____________EEE16">'[3]5-ALAT(1)'!$AW$23</definedName>
    <definedName name="____________EEE17">'[3]5-ALAT(1)'!$AW$24</definedName>
    <definedName name="____________EEE19">'[7]5-ALAT(1)'!$AW$26</definedName>
    <definedName name="____________EEE22">'[3]5-ALAT(1)'!$AW$29</definedName>
    <definedName name="____________EEE23">'[3]5-ALAT(1)'!$AW$30</definedName>
    <definedName name="____________EEE27">'[3]5-ALAT(1)'!$AW$34</definedName>
    <definedName name="____________EEE29">'[3]5-ALAT(1)'!$AW$36</definedName>
    <definedName name="____________EEE31">'[7]5-ALAT(1)'!$AW$38</definedName>
    <definedName name="____________LLL01">'[3]4-Basic Price'!$F$8</definedName>
    <definedName name="____________LLL02">'[3]4-Basic Price'!$F$9</definedName>
    <definedName name="____________LLL03">'[3]4-Basic Price'!$F$10</definedName>
    <definedName name="____________MMM03">'[7]4-Basic Price'!$F$53</definedName>
    <definedName name="____________MMM04">'[7]4-Basic Price'!$F$54</definedName>
    <definedName name="____________MMM05">'[3]4-Basic Price'!$F$52</definedName>
    <definedName name="____________MMM10">'[7]4-Basic Price'!$F$60</definedName>
    <definedName name="____________MMM11">'[7]4-Basic Price'!$F$62</definedName>
    <definedName name="____________MMM12">'[3]4-Basic Price'!$F$60</definedName>
    <definedName name="____________MMM16">'[3]4-Basic Price'!$F$65</definedName>
    <definedName name="____________MMM18">'[3]4-Basic Price'!$F$68</definedName>
    <definedName name="____________MMM19">'[3]4-Basic Price'!$F$69</definedName>
    <definedName name="____________MMM26">'[3]4-Basic Price'!$F$76</definedName>
    <definedName name="____________MMM27">'[3]4-Basic Price'!$F$77</definedName>
    <definedName name="____________MMM37">'[3]4-Basic Price'!$F$88</definedName>
    <definedName name="____________MMM39">'[3]4-Basic Price'!$F$89</definedName>
    <definedName name="____________MMM44">'[3]4-Basic Price'!$F$96</definedName>
    <definedName name="____________MMM47">'[3]4-Basic Price'!$F$99</definedName>
    <definedName name="____________MMM48">'[3]4-Basic Price'!$F$100</definedName>
    <definedName name="___________DIV1">[3]BOQ!$G$29</definedName>
    <definedName name="___________DIV10">[3]BOQ!$G$388</definedName>
    <definedName name="___________DIV2">[3]BOQ!$G$54</definedName>
    <definedName name="___________DIV3">[3]BOQ!$G$78</definedName>
    <definedName name="___________DIV4">[3]BOQ!$G$91</definedName>
    <definedName name="___________DIV5">[3]BOQ!$G$108</definedName>
    <definedName name="___________DIV6">[3]BOQ!$G$162</definedName>
    <definedName name="___________DIV7">[3]BOQ!$G$291</definedName>
    <definedName name="___________DIV8">[3]BOQ!$G$351</definedName>
    <definedName name="___________DIV9">[3]BOQ!$G$377</definedName>
    <definedName name="___________EEE02">'[3]5-ALAT(1)'!$AW$9</definedName>
    <definedName name="___________EEE05">'[3]5-ALAT(1)'!$AW$12</definedName>
    <definedName name="___________EEE06">'[3]5-ALAT(1)'!$AW$13</definedName>
    <definedName name="___________EEE07">'[3]5-ALAT(1)'!$AW$14</definedName>
    <definedName name="___________EEE08">'[3]5-ALAT(1)'!$AW$15</definedName>
    <definedName name="___________EEE09">'[3]5-ALAT(1)'!$AW$16</definedName>
    <definedName name="___________EEE10">'[3]5-ALAT(1)'!$AW$17</definedName>
    <definedName name="___________EEE11">'[3]5-ALAT(1)'!$AW$18</definedName>
    <definedName name="___________EEE13">'[3]5-ALAT(1)'!$AW$20</definedName>
    <definedName name="___________EEE15">'[3]5-ALAT(1)'!$AW$22</definedName>
    <definedName name="___________EEE16">'[3]5-ALAT(1)'!$AW$23</definedName>
    <definedName name="___________EEE17">'[3]5-ALAT(1)'!$AW$24</definedName>
    <definedName name="___________EEE19">'[3]5-ALAT(1)'!$AW$26</definedName>
    <definedName name="___________EEE22">'[3]5-ALAT(1)'!$AW$29</definedName>
    <definedName name="___________EEE23">'[3]5-ALAT(1)'!$AW$30</definedName>
    <definedName name="___________EEE27">'[3]5-ALAT(1)'!$AW$34</definedName>
    <definedName name="___________EEE29">'[3]5-ALAT(1)'!$AW$36</definedName>
    <definedName name="___________EEE31">'[3]5-ALAT(1)'!$AW$38</definedName>
    <definedName name="___________LLL01">'[3]4-Basic Price'!$F$8</definedName>
    <definedName name="___________LLL02">'[3]4-Basic Price'!$F$9</definedName>
    <definedName name="___________LLL03">'[3]4-Basic Price'!$F$10</definedName>
    <definedName name="___________MMM03">'[3]4-Basic Price'!$F$50</definedName>
    <definedName name="___________MMM04">'[3]4-Basic Price'!$F$51</definedName>
    <definedName name="___________MMM05">'[3]4-Basic Price'!$F$52</definedName>
    <definedName name="___________MMM10">'[3]4-Basic Price'!$F$57</definedName>
    <definedName name="___________MMM11">'[3]4-Basic Price'!$F$59</definedName>
    <definedName name="___________MMM12">'[3]4-Basic Price'!$F$60</definedName>
    <definedName name="___________MMM16">'[3]4-Basic Price'!$F$65</definedName>
    <definedName name="___________MMM18">'[3]4-Basic Price'!$F$68</definedName>
    <definedName name="___________MMM19">'[3]4-Basic Price'!$F$69</definedName>
    <definedName name="___________MMM26">'[3]4-Basic Price'!$F$76</definedName>
    <definedName name="___________MMM27">'[3]4-Basic Price'!$F$77</definedName>
    <definedName name="___________MMM37">'[3]4-Basic Price'!$F$88</definedName>
    <definedName name="___________MMM39">'[3]4-Basic Price'!$F$89</definedName>
    <definedName name="___________MMM44">'[3]4-Basic Price'!$F$96</definedName>
    <definedName name="___________MMM47">'[3]4-Basic Price'!$F$99</definedName>
    <definedName name="___________MMM48">'[3]4-Basic Price'!$F$100</definedName>
    <definedName name="__________DIV1">[3]BOQ!$G$29</definedName>
    <definedName name="__________DIV10">[3]BOQ!$G$388</definedName>
    <definedName name="__________DIV2">[3]BOQ!$G$54</definedName>
    <definedName name="__________DIV3">[3]BOQ!$G$78</definedName>
    <definedName name="__________DIV4">[3]BOQ!$G$91</definedName>
    <definedName name="__________DIV5">[3]BOQ!$G$108</definedName>
    <definedName name="__________DIV6">[3]BOQ!$G$162</definedName>
    <definedName name="__________DIV7">[3]BOQ!$G$291</definedName>
    <definedName name="__________DIV8">[3]BOQ!$G$351</definedName>
    <definedName name="__________DIV9">[3]BOQ!$G$377</definedName>
    <definedName name="__________EEE02">'[3]5-ALAT(1)'!$AW$9</definedName>
    <definedName name="__________EEE05">'[3]5-ALAT(1)'!$AW$12</definedName>
    <definedName name="__________EEE06">'[3]5-ALAT(1)'!$AW$13</definedName>
    <definedName name="__________EEE07">'[3]5-ALAT(1)'!$AW$14</definedName>
    <definedName name="__________EEE08">'[3]5-ALAT(1)'!$AW$15</definedName>
    <definedName name="__________EEE09">'[3]5-ALAT(1)'!$AW$16</definedName>
    <definedName name="__________EEE10">'[3]5-ALAT(1)'!$AW$17</definedName>
    <definedName name="__________EEE11">'[3]5-ALAT(1)'!$AW$18</definedName>
    <definedName name="__________EEE13">'[3]5-ALAT(1)'!$AW$20</definedName>
    <definedName name="__________EEE15">'[3]5-ALAT(1)'!$AW$22</definedName>
    <definedName name="__________EEE16">'[3]5-ALAT(1)'!$AW$23</definedName>
    <definedName name="__________EEE17">'[3]5-ALAT(1)'!$AW$24</definedName>
    <definedName name="__________EEE19">'[3]5-ALAT(1)'!$AW$26</definedName>
    <definedName name="__________EEE22">'[3]5-ALAT(1)'!$AW$29</definedName>
    <definedName name="__________EEE23">'[3]5-ALAT(1)'!$AW$30</definedName>
    <definedName name="__________EEE27">'[3]5-ALAT(1)'!$AW$34</definedName>
    <definedName name="__________EEE29">'[3]5-ALAT(1)'!$AW$36</definedName>
    <definedName name="__________EEE31">'[3]5-ALAT(1)'!$AW$38</definedName>
    <definedName name="__________LLL01">'[3]4-Basic Price'!$F$8</definedName>
    <definedName name="__________LLL02">'[3]4-Basic Price'!$F$9</definedName>
    <definedName name="__________LLL03">'[3]4-Basic Price'!$F$10</definedName>
    <definedName name="__________MMM03">'[3]4-Basic Price'!$F$50</definedName>
    <definedName name="__________MMM04">'[3]4-Basic Price'!$F$51</definedName>
    <definedName name="__________MMM05">'[3]4-Basic Price'!$F$52</definedName>
    <definedName name="__________MMM10">'[3]4-Basic Price'!$F$57</definedName>
    <definedName name="__________MMM11">'[3]4-Basic Price'!$F$59</definedName>
    <definedName name="__________MMM12">'[3]4-Basic Price'!$F$60</definedName>
    <definedName name="__________MMM16">'[3]4-Basic Price'!$F$65</definedName>
    <definedName name="__________MMM18">'[3]4-Basic Price'!$F$68</definedName>
    <definedName name="__________MMM19">'[3]4-Basic Price'!$F$69</definedName>
    <definedName name="__________MMM26">'[3]4-Basic Price'!$F$76</definedName>
    <definedName name="__________MMM27">'[3]4-Basic Price'!$F$77</definedName>
    <definedName name="__________MMM33">'[2]4-Basic Price'!$F$83</definedName>
    <definedName name="__________MMM37">'[3]4-Basic Price'!$F$88</definedName>
    <definedName name="__________MMM39">'[3]4-Basic Price'!$F$89</definedName>
    <definedName name="__________MMM44">'[3]4-Basic Price'!$F$96</definedName>
    <definedName name="__________MMM47">'[3]4-Basic Price'!$F$99</definedName>
    <definedName name="__________MMM48">'[3]4-Basic Price'!$F$100</definedName>
    <definedName name="_________DIV1">[3]BOQ!$G$29</definedName>
    <definedName name="_________DIV10">[3]BOQ!$G$388</definedName>
    <definedName name="_________DIV2">[3]BOQ!$G$54</definedName>
    <definedName name="_________DIV3">[3]BOQ!$G$78</definedName>
    <definedName name="_________DIV4">[3]BOQ!$G$91</definedName>
    <definedName name="_________DIV5">[3]BOQ!$G$108</definedName>
    <definedName name="_________DIV6">[3]BOQ!$G$162</definedName>
    <definedName name="_________DIV7">[3]BOQ!$G$291</definedName>
    <definedName name="_________DIV8">[3]BOQ!$G$351</definedName>
    <definedName name="_________DIV9">[3]BOQ!$G$377</definedName>
    <definedName name="_________EEE02">'[3]5-ALAT(1)'!$AW$9</definedName>
    <definedName name="_________EEE05">'[3]5-ALAT(1)'!$AW$12</definedName>
    <definedName name="_________EEE06">'[3]5-ALAT(1)'!$AW$13</definedName>
    <definedName name="_________EEE07">'[3]5-ALAT(1)'!$AW$14</definedName>
    <definedName name="_________EEE08">'[3]5-ALAT(1)'!$AW$15</definedName>
    <definedName name="_________EEE09">'[3]5-ALAT(1)'!$AW$16</definedName>
    <definedName name="_________EEE10">'[3]5-ALAT(1)'!$AW$17</definedName>
    <definedName name="_________EEE11">'[3]5-ALAT(1)'!$AW$18</definedName>
    <definedName name="_________EEE13">'[3]5-ALAT(1)'!$AW$20</definedName>
    <definedName name="_________EEE15">'[3]5-ALAT(1)'!$AW$22</definedName>
    <definedName name="_________EEE16">'[3]5-ALAT(1)'!$AW$23</definedName>
    <definedName name="_________EEE17">'[3]5-ALAT(1)'!$AW$24</definedName>
    <definedName name="_________EEE19">'[3]5-ALAT(1)'!$AW$26</definedName>
    <definedName name="_________EEE22">'[3]5-ALAT(1)'!$AW$29</definedName>
    <definedName name="_________EEE23">'[3]5-ALAT(1)'!$AW$30</definedName>
    <definedName name="_________EEE27">'[3]5-ALAT(1)'!$AW$34</definedName>
    <definedName name="_________EEE29">'[3]5-ALAT(1)'!$AW$36</definedName>
    <definedName name="_________EEE31">'[3]5-ALAT(1)'!$AW$38</definedName>
    <definedName name="_________LLL01">'[3]4-Basic Price'!$F$8</definedName>
    <definedName name="_________LLL02">'[3]4-Basic Price'!$F$9</definedName>
    <definedName name="_________LLL03">'[3]4-Basic Price'!$F$10</definedName>
    <definedName name="_________MMM03">'[3]4-Basic Price'!$F$50</definedName>
    <definedName name="_________MMM04">'[3]4-Basic Price'!$F$51</definedName>
    <definedName name="_________MMM05">'[3]4-Basic Price'!$F$52</definedName>
    <definedName name="_________MMM10">'[3]4-Basic Price'!$F$57</definedName>
    <definedName name="_________MMM11">'[3]4-Basic Price'!$F$59</definedName>
    <definedName name="_________MMM12">'[3]4-Basic Price'!$F$60</definedName>
    <definedName name="_________MMM16">'[3]4-Basic Price'!$F$65</definedName>
    <definedName name="_________MMM18">'[3]4-Basic Price'!$F$68</definedName>
    <definedName name="_________MMM19">'[3]4-Basic Price'!$F$69</definedName>
    <definedName name="_________MMM26">'[3]4-Basic Price'!$F$76</definedName>
    <definedName name="_________MMM27">'[3]4-Basic Price'!$F$77</definedName>
    <definedName name="_________MMM33">'[4]Harga bhn dan upah'!$F$86</definedName>
    <definedName name="_________MMM37">'[3]4-Basic Price'!$F$88</definedName>
    <definedName name="_________MMM39">'[3]4-Basic Price'!$F$89</definedName>
    <definedName name="_________MMM44">'[3]4-Basic Price'!$F$96</definedName>
    <definedName name="_________MMM47">'[3]4-Basic Price'!$F$99</definedName>
    <definedName name="_________MMM48">'[3]4-Basic Price'!$F$100</definedName>
    <definedName name="________DIV1">[2]BOQ!$G$29</definedName>
    <definedName name="________DIV10">[2]BOQ!$G$384</definedName>
    <definedName name="________DIV2">[2]BOQ!$G$54</definedName>
    <definedName name="________DIV3">[2]BOQ!$G$78</definedName>
    <definedName name="________DIV4">[2]BOQ!$G$91</definedName>
    <definedName name="________DIV5">[2]BOQ!$G$108</definedName>
    <definedName name="________DIV6">[2]BOQ!$G$162</definedName>
    <definedName name="________DIV7">[2]BOQ!$G$289</definedName>
    <definedName name="________DIV8">[2]BOQ!$G$347</definedName>
    <definedName name="________DIV9">[2]BOQ!$G$373</definedName>
    <definedName name="________EEE02">'[2]5-ALAT(1)'!$AX$9</definedName>
    <definedName name="________EEE05">'[2]5-ALAT(1)'!$AX$12</definedName>
    <definedName name="________EEE06">'[2]5-ALAT(1)'!$AX$13</definedName>
    <definedName name="________EEE07">'[2]5-ALAT(1)'!$AX$14</definedName>
    <definedName name="________EEE08">'[2]5-ALAT(1)'!$AX$15</definedName>
    <definedName name="________EEE09">'[2]5-ALAT(1)'!$AX$16</definedName>
    <definedName name="________EEE10">'[2]5-ALAT(1)'!$AX$17</definedName>
    <definedName name="________EEE11">'[2]5-ALAT(1)'!$AX$18</definedName>
    <definedName name="________EEE13">'[2]5-ALAT(1)'!$AX$20</definedName>
    <definedName name="________EEE15">'[2]5-ALAT(1)'!$AX$22</definedName>
    <definedName name="________EEE16">'[2]5-ALAT(1)'!$AX$23</definedName>
    <definedName name="________EEE17">'[2]5-ALAT(1)'!$AX$24</definedName>
    <definedName name="________EEE19">'[2]5-ALAT(1)'!$AX$26</definedName>
    <definedName name="________EEE22">'[2]5-ALAT(1)'!$AX$29</definedName>
    <definedName name="________EEE23">'[2]5-ALAT(1)'!$AX$30</definedName>
    <definedName name="________EEE27">'[2]5-ALAT(1)'!$AX$34</definedName>
    <definedName name="________EEE29">'[2]5-ALAT(1)'!$AX$36</definedName>
    <definedName name="________EEE31">'[2]5-ALAT(1)'!$AX$38</definedName>
    <definedName name="________LLL01">'[2]4-Basic Price'!$F$8</definedName>
    <definedName name="________LLL02">'[2]4-Basic Price'!$F$9</definedName>
    <definedName name="________LLL03">'[2]4-Basic Price'!$F$10</definedName>
    <definedName name="________MMM03">'[2]4-Basic Price'!$F$50</definedName>
    <definedName name="________MMM04">'[2]4-Basic Price'!$F$51</definedName>
    <definedName name="________MMM05">'[3]4-Basic Price'!$F$52</definedName>
    <definedName name="________MMM10">'[2]4-Basic Price'!$F$57</definedName>
    <definedName name="________MMM11">'[2]4-Basic Price'!$F$59</definedName>
    <definedName name="________MMM12">'[2]4-Basic Price'!$F$60</definedName>
    <definedName name="________MMM16">'[2]4-Basic Price'!$F$65</definedName>
    <definedName name="________MMM18">'[2]4-Basic Price'!$F$68</definedName>
    <definedName name="________MMM19">'[2]4-Basic Price'!$F$69</definedName>
    <definedName name="________MMM26">'[2]4-Basic Price'!$F$76</definedName>
    <definedName name="________MMM27">'[2]4-Basic Price'!$F$77</definedName>
    <definedName name="________MMM33">'[2]4-Basic Price'!$F$83</definedName>
    <definedName name="________MMM37">'[2]4-Basic Price'!$F$88</definedName>
    <definedName name="________MMM39">'[2]4-Basic Price'!$F$89</definedName>
    <definedName name="________MMM44">'[2]4-Basic Price'!$F$96</definedName>
    <definedName name="________MMM47">'[2]4-Basic Price'!$F$99</definedName>
    <definedName name="________MMM48">'[2]4-Basic Price'!$F$100</definedName>
    <definedName name="_______DIV1">[2]BOQ!$G$29</definedName>
    <definedName name="_______DIV10">[2]BOQ!$G$384</definedName>
    <definedName name="_______DIV2">[2]BOQ!$G$54</definedName>
    <definedName name="_______DIV3">[2]BOQ!$G$78</definedName>
    <definedName name="_______DIV4">[2]BOQ!$G$91</definedName>
    <definedName name="_______DIV5">[2]BOQ!$G$108</definedName>
    <definedName name="_______DIV6">[2]BOQ!$G$162</definedName>
    <definedName name="_______DIV7">[2]BOQ!$G$289</definedName>
    <definedName name="_______DIV8">[2]BOQ!$G$347</definedName>
    <definedName name="_______DIV9">[2]BOQ!$G$373</definedName>
    <definedName name="_______EEE02">'[2]5-ALAT(1)'!$AX$9</definedName>
    <definedName name="_______EEE05">'[2]5-ALAT(1)'!$AX$12</definedName>
    <definedName name="_______EEE06">'[2]5-ALAT(1)'!$AX$13</definedName>
    <definedName name="_______EEE07">'[2]5-ALAT(1)'!$AX$14</definedName>
    <definedName name="_______EEE08">'[2]5-ALAT(1)'!$AX$15</definedName>
    <definedName name="_______EEE09">'[2]5-ALAT(1)'!$AX$16</definedName>
    <definedName name="_______EEE10">'[2]5-ALAT(1)'!$AX$17</definedName>
    <definedName name="_______EEE11">'[2]5-ALAT(1)'!$AX$18</definedName>
    <definedName name="_______EEE13">'[2]5-ALAT(1)'!$AX$20</definedName>
    <definedName name="_______EEE15">'[2]5-ALAT(1)'!$AX$22</definedName>
    <definedName name="_______EEE16">'[2]5-ALAT(1)'!$AX$23</definedName>
    <definedName name="_______EEE17">'[2]5-ALAT(1)'!$AX$24</definedName>
    <definedName name="_______EEE19">'[2]5-ALAT(1)'!$AX$26</definedName>
    <definedName name="_______EEE22">'[2]5-ALAT(1)'!$AX$29</definedName>
    <definedName name="_______EEE23">'[2]5-ALAT(1)'!$AX$30</definedName>
    <definedName name="_______EEE27">'[2]5-ALAT(1)'!$AX$34</definedName>
    <definedName name="_______EEE29">'[2]5-ALAT(1)'!$AX$36</definedName>
    <definedName name="_______EEE31">'[2]5-ALAT(1)'!$AX$38</definedName>
    <definedName name="_______LLL01">'[2]4-Basic Price'!$F$8</definedName>
    <definedName name="_______LLL02">'[2]4-Basic Price'!$F$9</definedName>
    <definedName name="_______LLL03">'[2]4-Basic Price'!$F$10</definedName>
    <definedName name="_______MDE35">'[8]Peralatan (2)'!$R$27</definedName>
    <definedName name="_______ME35">'[8]Peralatan (2)'!$R$26</definedName>
    <definedName name="_______MMM03">'[2]4-Basic Price'!$F$50</definedName>
    <definedName name="_______MMM04">'[2]4-Basic Price'!$F$51</definedName>
    <definedName name="_______MMM05">'[3]4-Basic Price'!$F$52</definedName>
    <definedName name="_______MMM10">'[2]4-Basic Price'!$F$57</definedName>
    <definedName name="_______MMM11">'[2]4-Basic Price'!$F$59</definedName>
    <definedName name="_______MMM12">'[2]4-Basic Price'!$F$60</definedName>
    <definedName name="_______MMM16">'[2]4-Basic Price'!$F$65</definedName>
    <definedName name="_______MMM18">'[2]4-Basic Price'!$F$68</definedName>
    <definedName name="_______MMM19">'[2]4-Basic Price'!$F$69</definedName>
    <definedName name="_______MMM26">'[2]4-Basic Price'!$F$76</definedName>
    <definedName name="_______MMM27">'[2]4-Basic Price'!$F$77</definedName>
    <definedName name="_______MMM33">'[2]4-Basic Price'!$F$83</definedName>
    <definedName name="_______MMM37">'[2]4-Basic Price'!$F$88</definedName>
    <definedName name="_______MMM39">'[2]4-Basic Price'!$F$89</definedName>
    <definedName name="_______MMM44">'[2]4-Basic Price'!$F$96</definedName>
    <definedName name="_______MMM47">'[2]4-Basic Price'!$F$99</definedName>
    <definedName name="_______MMM48">'[2]4-Basic Price'!$F$100</definedName>
    <definedName name="______DIV1">[2]BOQ!$G$29</definedName>
    <definedName name="______DIV10">[2]BOQ!$G$384</definedName>
    <definedName name="______DIV2">[2]BOQ!$G$54</definedName>
    <definedName name="______DIV3">[2]BOQ!$G$78</definedName>
    <definedName name="______DIV4">[2]BOQ!$G$91</definedName>
    <definedName name="______DIV5">[2]BOQ!$G$108</definedName>
    <definedName name="______DIV6">[2]BOQ!$G$162</definedName>
    <definedName name="______DIV7">[2]BOQ!$G$289</definedName>
    <definedName name="______DIV8">[2]BOQ!$G$347</definedName>
    <definedName name="______DIV9">[2]BOQ!$G$373</definedName>
    <definedName name="______EEE19">'[2]5-ALAT(1)'!$AX$26</definedName>
    <definedName name="______EEE22">'[2]5-ALAT(1)'!$AX$29</definedName>
    <definedName name="______LLL01">'[2]4-Basic Price'!$F$8</definedName>
    <definedName name="______LLL02">'[2]4-Basic Price'!$F$9</definedName>
    <definedName name="______LLL03">'[2]4-Basic Price'!$F$10</definedName>
    <definedName name="______MDE35">'[8]Peralatan (2)'!$R$27</definedName>
    <definedName name="______ME35">'[8]Peralatan (2)'!$R$26</definedName>
    <definedName name="______MMM03">'[2]4-Basic Price'!$F$50</definedName>
    <definedName name="______MMM04">'[2]4-Basic Price'!$F$51</definedName>
    <definedName name="______MMM05">'[3]4-Basic Price'!$F$52</definedName>
    <definedName name="______MMM10">'[2]4-Basic Price'!$F$57</definedName>
    <definedName name="______MMM11">'[2]4-Basic Price'!$F$59</definedName>
    <definedName name="______MMM12">'[2]4-Basic Price'!$F$60</definedName>
    <definedName name="______MMM16">'[2]4-Basic Price'!$F$65</definedName>
    <definedName name="______MMM18">'[2]4-Basic Price'!$F$68</definedName>
    <definedName name="______MMM19">'[2]4-Basic Price'!$F$69</definedName>
    <definedName name="______MMM26">'[2]4-Basic Price'!$F$76</definedName>
    <definedName name="______MMM27">'[2]4-Basic Price'!$F$77</definedName>
    <definedName name="______MMM33">'[2]4-Basic Price'!$F$83</definedName>
    <definedName name="______MMM37">'[2]4-Basic Price'!$F$88</definedName>
    <definedName name="______MMM39">'[2]4-Basic Price'!$F$89</definedName>
    <definedName name="______MMM44">'[2]4-Basic Price'!$F$96</definedName>
    <definedName name="______MMM47">'[2]4-Basic Price'!$F$99</definedName>
    <definedName name="______MMM48">'[2]4-Basic Price'!$F$100</definedName>
    <definedName name="_____DIV1">[2]BOQ!$G$29</definedName>
    <definedName name="_____DIV10">[2]BOQ!$G$384</definedName>
    <definedName name="_____DIV2">[2]BOQ!$G$54</definedName>
    <definedName name="_____DIV3">[2]BOQ!$G$78</definedName>
    <definedName name="_____DIV4">[2]BOQ!$G$91</definedName>
    <definedName name="_____DIV5">[2]BOQ!$G$108</definedName>
    <definedName name="_____DIV6">[2]BOQ!$G$162</definedName>
    <definedName name="_____DIV7">[2]BOQ!$G$289</definedName>
    <definedName name="_____DIV8">[2]BOQ!$G$347</definedName>
    <definedName name="_____DIV9">[2]BOQ!$G$373</definedName>
    <definedName name="_____LLL01">'[2]4-Basic Price'!$F$8</definedName>
    <definedName name="_____LLL02">'[2]4-Basic Price'!$F$9</definedName>
    <definedName name="_____LLL03">'[2]4-Basic Price'!$F$10</definedName>
    <definedName name="_____MDE35">'[9]Peralatan (2)'!$R$27</definedName>
    <definedName name="_____ME35">'[9]Peralatan (2)'!$R$26</definedName>
    <definedName name="_____MMM03">'[2]4-Basic Price'!$F$50</definedName>
    <definedName name="_____MMM04">'[2]4-Basic Price'!$F$51</definedName>
    <definedName name="_____MMM05">'[3]4-Basic Price'!$F$52</definedName>
    <definedName name="_____MMM10">'[2]4-Basic Price'!$F$57</definedName>
    <definedName name="_____MMM11">'[2]4-Basic Price'!$F$59</definedName>
    <definedName name="_____MMM12">'[2]4-Basic Price'!$F$60</definedName>
    <definedName name="_____MMM16">'[2]4-Basic Price'!$F$65</definedName>
    <definedName name="_____MMM18">'[2]4-Basic Price'!$F$68</definedName>
    <definedName name="_____MMM19">'[2]4-Basic Price'!$F$69</definedName>
    <definedName name="_____MMM26">'[2]4-Basic Price'!$F$76</definedName>
    <definedName name="_____MMM27">'[2]4-Basic Price'!$F$77</definedName>
    <definedName name="_____MMM33">'[2]4-Basic Price'!$F$83</definedName>
    <definedName name="_____MMM37">'[2]4-Basic Price'!$F$88</definedName>
    <definedName name="_____MMM39">'[2]4-Basic Price'!$F$89</definedName>
    <definedName name="_____MMM44">'[2]4-Basic Price'!$F$96</definedName>
    <definedName name="_____MMM47">'[2]4-Basic Price'!$F$99</definedName>
    <definedName name="_____MMM48">'[2]4-Basic Price'!$F$100</definedName>
    <definedName name="____DIV1">[2]BOQ!$G$29</definedName>
    <definedName name="____DIV10">[2]BOQ!$G$384</definedName>
    <definedName name="____DIV2">[2]BOQ!$G$54</definedName>
    <definedName name="____DIV3">[2]BOQ!$G$78</definedName>
    <definedName name="____DIV4">[2]BOQ!$G$91</definedName>
    <definedName name="____DIV5">[2]BOQ!$G$108</definedName>
    <definedName name="____DIV6">[2]BOQ!$G$162</definedName>
    <definedName name="____DIV7">[2]BOQ!$G$289</definedName>
    <definedName name="____DIV8">[2]BOQ!$G$347</definedName>
    <definedName name="____DIV9">[2]BOQ!$G$373</definedName>
    <definedName name="____EEE02">'[10]5-ALAT(1)'!$AW$9</definedName>
    <definedName name="____EEE05">'[10]5-ALAT(1)'!$AW$12</definedName>
    <definedName name="____EEE06">'[10]5-ALAT(1)'!$AW$13</definedName>
    <definedName name="____EEE07">'[10]5-ALAT(1)'!$AW$14</definedName>
    <definedName name="____EEE08">'[10]5-ALAT(1)'!$AW$15</definedName>
    <definedName name="____EEE09">'[10]5-ALAT(1)'!$AW$16</definedName>
    <definedName name="____EEE10">'[10]5-ALAT(1)'!$AW$17</definedName>
    <definedName name="____EEE11">'[10]5-ALAT(1)'!$AW$18</definedName>
    <definedName name="____EEE13">'[10]5-ALAT(1)'!$AW$20</definedName>
    <definedName name="____EEE15">'[10]5-ALAT(1)'!$AW$22</definedName>
    <definedName name="____EEE16">'[10]5-ALAT(1)'!$AW$23</definedName>
    <definedName name="____EEE17">'[10]5-ALAT(1)'!$AW$24</definedName>
    <definedName name="____EEE23">'[10]5-ALAT(1)'!$AW$30</definedName>
    <definedName name="____EEE27">'[10]5-ALAT(1)'!$AW$34</definedName>
    <definedName name="____EEE29">'[10]5-ALAT(1)'!$AW$36</definedName>
    <definedName name="____EEE31">'[10]5-ALAT(1)'!$AW$38</definedName>
    <definedName name="____LLL01">'[2]4-Basic Price'!$F$8</definedName>
    <definedName name="____LLL02">'[2]4-Basic Price'!$F$9</definedName>
    <definedName name="____LLL03">'[2]4-Basic Price'!$F$10</definedName>
    <definedName name="____LLL04">'[11]Basic Price'!$F$14</definedName>
    <definedName name="____LLL05">'[11]Basic Price'!$F$16</definedName>
    <definedName name="____LLL06">'[11]Basic Price'!$F$18</definedName>
    <definedName name="____LLL07">'[11]Basic Price'!$F$20</definedName>
    <definedName name="____LLL08">'[11]Basic Price'!$F$22</definedName>
    <definedName name="____LLL09">'[11]Basic Price'!$F$24</definedName>
    <definedName name="____LLL10">'[11]Basic Price'!$F$26</definedName>
    <definedName name="____LLL11">'[11]Basic Price'!$F$28</definedName>
    <definedName name="____MDE35">'[9]Peralatan (2)'!$R$27</definedName>
    <definedName name="____ME35">'[9]Peralatan (2)'!$R$26</definedName>
    <definedName name="____MMM03">'[2]4-Basic Price'!$F$50</definedName>
    <definedName name="____MMM04">'[2]4-Basic Price'!$F$51</definedName>
    <definedName name="____MMM06">'[11]Basic Price'!$F$60</definedName>
    <definedName name="____MMM08">'[11]Basic Price'!$F$64</definedName>
    <definedName name="____MMM09">'[11]Basic Price'!$F$66</definedName>
    <definedName name="____MMM10">'[2]4-Basic Price'!$F$57</definedName>
    <definedName name="____MMM11">'[2]4-Basic Price'!$F$59</definedName>
    <definedName name="____MMM12">'[2]4-Basic Price'!$F$60</definedName>
    <definedName name="____MMM13">'[11]Basic Price'!$F$74</definedName>
    <definedName name="____MMM14">'[11]Basic Price'!$F$76</definedName>
    <definedName name="____MMM15">'[11]Basic Price'!$F$78</definedName>
    <definedName name="____MMM16">'[2]4-Basic Price'!$F$65</definedName>
    <definedName name="____MMM17">'[11]Basic Price'!$F$82</definedName>
    <definedName name="____MMM18">'[2]4-Basic Price'!$F$68</definedName>
    <definedName name="____MMM19">'[2]4-Basic Price'!$F$69</definedName>
    <definedName name="____MMM20">'[11]Basic Price'!$F$97</definedName>
    <definedName name="____MMM21">'[11]Basic Price'!$F$99</definedName>
    <definedName name="____MMM22">'[11]Basic Price'!$F$101</definedName>
    <definedName name="____MMM23">'[11]Basic Price'!$F$103</definedName>
    <definedName name="____MMM24">'[11]Basic Price'!$F$105</definedName>
    <definedName name="____MMM25">'[11]Basic Price'!$F$107</definedName>
    <definedName name="____MMM26">'[2]4-Basic Price'!$F$76</definedName>
    <definedName name="____MMM27">'[2]4-Basic Price'!$F$77</definedName>
    <definedName name="____MMM28">'[11]Basic Price'!$F$113</definedName>
    <definedName name="____MMM29">'[11]Basic Price'!$F$115</definedName>
    <definedName name="____MMM30">'[11]Basic Price'!$F$117</definedName>
    <definedName name="____MMM31">'[11]Basic Price'!$F$119</definedName>
    <definedName name="____MMM32">'[11]Basic Price'!$F$121</definedName>
    <definedName name="____MMM33">'[2]4-Basic Price'!$F$83</definedName>
    <definedName name="____MMM34">'[11]Basic Price'!$F$125</definedName>
    <definedName name="____MMM35">'[11]Basic Price'!$F$127</definedName>
    <definedName name="____MMM36">'[11]Basic Price'!$F$129</definedName>
    <definedName name="____MMM37">'[2]4-Basic Price'!$F$88</definedName>
    <definedName name="____MMM39">'[2]4-Basic Price'!$F$89</definedName>
    <definedName name="____MMM40">'[11]Basic Price'!$F$145</definedName>
    <definedName name="____MMM41">'[11]Basic Price'!$F$147</definedName>
    <definedName name="____MMM411">'[11]Basic Price'!$F$148</definedName>
    <definedName name="____MMM42">'[11]Basic Price'!$F$150</definedName>
    <definedName name="____MMM43">'[11]Basic Price'!$F$152</definedName>
    <definedName name="____MMM44">'[2]4-Basic Price'!$F$96</definedName>
    <definedName name="____MMM45">'[11]Basic Price'!$F$156</definedName>
    <definedName name="____MMM46">'[11]Basic Price'!$F$158</definedName>
    <definedName name="____MMM47">'[2]4-Basic Price'!$F$99</definedName>
    <definedName name="____MMM48">'[2]4-Basic Price'!$F$100</definedName>
    <definedName name="____MMM49">'[11]Basic Price'!$F$164</definedName>
    <definedName name="____MMM50">'[11]Basic Price'!$F$166</definedName>
    <definedName name="____MMM51">'[11]Basic Price'!$F$168</definedName>
    <definedName name="____MMM52">'[11]Basic Price'!$F$170</definedName>
    <definedName name="____MMM53">'[11]Basic Price'!$F$172</definedName>
    <definedName name="____MMM54">'[11]Basic Price'!$F$185</definedName>
    <definedName name="____mu1">'[12]har-sat'!$J$2</definedName>
    <definedName name="____XAG2">[13]BOW!$B$221</definedName>
    <definedName name="____XAG50">[13]BOW!$B$12</definedName>
    <definedName name="____XAW2">[13]BOW!$B$60</definedName>
    <definedName name="____XAW3">[13]BOW!$B$68</definedName>
    <definedName name="____XAW4">[13]BOW!$B$45</definedName>
    <definedName name="___DIV1">[2]BOQ!$G$29</definedName>
    <definedName name="___DIV10">[2]BOQ!$G$384</definedName>
    <definedName name="___DIV2">[2]BOQ!$G$54</definedName>
    <definedName name="___DIV3">[2]BOQ!$G$78</definedName>
    <definedName name="___DIV4">[2]BOQ!$G$91</definedName>
    <definedName name="___DIV5">[2]BOQ!$G$108</definedName>
    <definedName name="___DIV6">[2]BOQ!$G$162</definedName>
    <definedName name="___DIV7">[2]BOQ!$G$289</definedName>
    <definedName name="___DIV8">[2]BOQ!$G$347</definedName>
    <definedName name="___DIV9">[2]BOQ!$G$373</definedName>
    <definedName name="___LLL01">'[2]4-Basic Price'!$F$8</definedName>
    <definedName name="___LLL02">'[2]4-Basic Price'!$F$9</definedName>
    <definedName name="___LLL03">'[2]4-Basic Price'!$F$10</definedName>
    <definedName name="___LLL04">'[11]Basic Price'!$F$14</definedName>
    <definedName name="___LLL05">'[11]Basic Price'!$F$16</definedName>
    <definedName name="___LLL06">'[11]Basic Price'!$F$18</definedName>
    <definedName name="___LLL07">'[11]Basic Price'!$F$20</definedName>
    <definedName name="___LLL08">'[11]Basic Price'!$F$22</definedName>
    <definedName name="___LLL09">'[11]Basic Price'!$F$24</definedName>
    <definedName name="___LLL10">'[11]Basic Price'!$F$26</definedName>
    <definedName name="___LLL11">'[11]Basic Price'!$F$28</definedName>
    <definedName name="___MDE01">[14]Peralatan!$BO$27</definedName>
    <definedName name="___MDE02">[14]Peralatan!$BO$47</definedName>
    <definedName name="___MDE03">[14]Peralatan!$BO$67</definedName>
    <definedName name="___MDE04">[14]Peralatan!$BO$87</definedName>
    <definedName name="___MDE05">[14]Peralatan!$BO$107</definedName>
    <definedName name="___MDE06">[14]Peralatan!$BO$127</definedName>
    <definedName name="___MDE07">[14]Peralatan!$BO$147</definedName>
    <definedName name="___MDE08">[14]Peralatan!$BO$167</definedName>
    <definedName name="___MDE09">[14]Peralatan!$BO$187</definedName>
    <definedName name="___MDE10">[14]Peralatan!$BO$207</definedName>
    <definedName name="___MDE11">[14]Peralatan!$BO$227</definedName>
    <definedName name="___MDE12">[14]Peralatan!$BO$247</definedName>
    <definedName name="___MDE13">[14]Peralatan!$BO$267</definedName>
    <definedName name="___MDE14">[14]Peralatan!$BO$287</definedName>
    <definedName name="___MDE15">[14]Peralatan!$BO$307</definedName>
    <definedName name="___MDE16">[14]Peralatan!$BO$327</definedName>
    <definedName name="___MDE17">[14]Peralatan!$BO$347</definedName>
    <definedName name="___MDE18">[14]Peralatan!$BO$367</definedName>
    <definedName name="___MDE19">[14]Peralatan!$BO$387</definedName>
    <definedName name="___MDE20">[14]Peralatan!$BO$407</definedName>
    <definedName name="___MDE21">[14]Peralatan!$BO$427</definedName>
    <definedName name="___MDE22">[14]Peralatan!$BO$447</definedName>
    <definedName name="___MDE23">[14]Peralatan!$BO$467</definedName>
    <definedName name="___MDE24">[14]Peralatan!$BO$487</definedName>
    <definedName name="___MDE25">[14]Peralatan!$BO$507</definedName>
    <definedName name="___MDE26">[14]Peralatan!$BO$527</definedName>
    <definedName name="___MDE27">[14]Peralatan!$BO$547</definedName>
    <definedName name="___MDE28">[14]Peralatan!$BO$567</definedName>
    <definedName name="___MDE29">[14]Peralatan!$BO$587</definedName>
    <definedName name="___MDE30">[14]Peralatan!$BO$607</definedName>
    <definedName name="___MDE31">[14]Peralatan!$BO$627</definedName>
    <definedName name="___MDE32">[14]Peralatan!$BO$647</definedName>
    <definedName name="___MDE33">[14]Peralatan!$BO$667</definedName>
    <definedName name="___MDE34">[14]Peralatan!$BO$698</definedName>
    <definedName name="___MDE35">'[15]Peralatan (2)'!$R$27</definedName>
    <definedName name="___ME01">[14]Peralatan!$BO$26</definedName>
    <definedName name="___ME02">[14]Peralatan!$BO$46</definedName>
    <definedName name="___ME03">[14]Peralatan!$BO$66</definedName>
    <definedName name="___ME04">[14]Peralatan!$BO$86</definedName>
    <definedName name="___ME05">[14]Peralatan!$BO$106</definedName>
    <definedName name="___ME06">[14]Peralatan!$BO$126</definedName>
    <definedName name="___ME07">[14]Peralatan!$BO$146</definedName>
    <definedName name="___ME08">[14]Peralatan!$BO$166</definedName>
    <definedName name="___ME09">[14]Peralatan!$BO$186</definedName>
    <definedName name="___ME10">[14]Peralatan!$BO$206</definedName>
    <definedName name="___ME11">[14]Peralatan!$BO$226</definedName>
    <definedName name="___ME12">[14]Peralatan!$BO$246</definedName>
    <definedName name="___ME13">[14]Peralatan!$BO$266</definedName>
    <definedName name="___ME14">[14]Peralatan!$BO$286</definedName>
    <definedName name="___ME15">[14]Peralatan!$BO$306</definedName>
    <definedName name="___ME16">[14]Peralatan!$BO$326</definedName>
    <definedName name="___ME17">[14]Peralatan!$BO$346</definedName>
    <definedName name="___ME18">[14]Peralatan!$BO$366</definedName>
    <definedName name="___ME19">[14]Peralatan!$BO$386</definedName>
    <definedName name="___ME20">[14]Peralatan!$BO$406</definedName>
    <definedName name="___ME21">[14]Peralatan!$BO$426</definedName>
    <definedName name="___ME22">[14]Peralatan!$BO$446</definedName>
    <definedName name="___ME23">[14]Peralatan!$BO$466</definedName>
    <definedName name="___ME24">[14]Peralatan!$BO$486</definedName>
    <definedName name="___ME25">[14]Peralatan!$BO$506</definedName>
    <definedName name="___ME26">[14]Peralatan!$BO$526</definedName>
    <definedName name="___ME27">[14]Peralatan!$BO$546</definedName>
    <definedName name="___ME28">[14]Peralatan!$BO$566</definedName>
    <definedName name="___ME29">[14]Peralatan!$BO$586</definedName>
    <definedName name="___ME30">[14]Peralatan!$BO$606</definedName>
    <definedName name="___ME31">[14]Peralatan!$BO$626</definedName>
    <definedName name="___ME32">[14]Peralatan!$BO$646</definedName>
    <definedName name="___ME33">[14]Peralatan!$BO$666</definedName>
    <definedName name="___ME34">[14]Peralatan!$BO$697</definedName>
    <definedName name="___ME35">'[15]Peralatan (2)'!$R$26</definedName>
    <definedName name="___MMM01">'[11]Basic Price'!$F$50</definedName>
    <definedName name="___MMM02">'[11]Basic Price'!$F$52</definedName>
    <definedName name="___MMM03">'[2]4-Basic Price'!$F$50</definedName>
    <definedName name="___MMM04">'[2]4-Basic Price'!$F$51</definedName>
    <definedName name="___MMM05">'[3]4-Basic Price'!$F$52</definedName>
    <definedName name="___MMM06">'[11]Basic Price'!$F$60</definedName>
    <definedName name="___MMM07">'[11]Basic Price'!$F$62</definedName>
    <definedName name="___MMM08">'[11]Basic Price'!$F$64</definedName>
    <definedName name="___MMM09">'[11]Basic Price'!$F$66</definedName>
    <definedName name="___MMM10">'[2]4-Basic Price'!$F$57</definedName>
    <definedName name="___MMM11">'[2]4-Basic Price'!$F$59</definedName>
    <definedName name="___MMM12">'[2]4-Basic Price'!$F$60</definedName>
    <definedName name="___MMM13">'[11]Basic Price'!$F$74</definedName>
    <definedName name="___MMM14">'[11]Basic Price'!$F$76</definedName>
    <definedName name="___MMM15">'[11]Basic Price'!$F$78</definedName>
    <definedName name="___MMM16">'[2]4-Basic Price'!$F$65</definedName>
    <definedName name="___MMM17">'[11]Basic Price'!$F$82</definedName>
    <definedName name="___MMM18">'[2]4-Basic Price'!$F$68</definedName>
    <definedName name="___MMM19">'[2]4-Basic Price'!$F$69</definedName>
    <definedName name="___MMM20">'[11]Basic Price'!$F$97</definedName>
    <definedName name="___MMM21">'[11]Basic Price'!$F$99</definedName>
    <definedName name="___MMM22">'[11]Basic Price'!$F$101</definedName>
    <definedName name="___MMM23">'[11]Basic Price'!$F$103</definedName>
    <definedName name="___MMM24">'[11]Basic Price'!$F$105</definedName>
    <definedName name="___MMM25">'[11]Basic Price'!$F$107</definedName>
    <definedName name="___MMM26">'[2]4-Basic Price'!$F$76</definedName>
    <definedName name="___MMM27">'[2]4-Basic Price'!$F$77</definedName>
    <definedName name="___MMM28">'[11]Basic Price'!$F$113</definedName>
    <definedName name="___MMM29">'[11]Basic Price'!$F$115</definedName>
    <definedName name="___MMM30">'[11]Basic Price'!$F$117</definedName>
    <definedName name="___MMM31">'[11]Basic Price'!$F$119</definedName>
    <definedName name="___MMM32">'[11]Basic Price'!$F$121</definedName>
    <definedName name="___MMM33">'[2]4-Basic Price'!$F$83</definedName>
    <definedName name="___MMM34">'[11]Basic Price'!$F$125</definedName>
    <definedName name="___MMM35">'[11]Basic Price'!$F$127</definedName>
    <definedName name="___MMM36">'[11]Basic Price'!$F$129</definedName>
    <definedName name="___MMM37">'[2]4-Basic Price'!$F$88</definedName>
    <definedName name="___MMM39">'[2]4-Basic Price'!$F$89</definedName>
    <definedName name="___MMM40">'[11]Basic Price'!$F$145</definedName>
    <definedName name="___MMM41">'[11]Basic Price'!$F$147</definedName>
    <definedName name="___MMM411">'[11]Basic Price'!$F$148</definedName>
    <definedName name="___MMM42">'[11]Basic Price'!$F$150</definedName>
    <definedName name="___MMM43">'[11]Basic Price'!$F$152</definedName>
    <definedName name="___MMM44">'[2]4-Basic Price'!$F$96</definedName>
    <definedName name="___MMM45">'[11]Basic Price'!$F$156</definedName>
    <definedName name="___MMM46">'[11]Basic Price'!$F$158</definedName>
    <definedName name="___MMM47">'[2]4-Basic Price'!$F$99</definedName>
    <definedName name="___MMM48">'[2]4-Basic Price'!$F$100</definedName>
    <definedName name="___MMM49">'[11]Basic Price'!$F$164</definedName>
    <definedName name="___MMM50">'[11]Basic Price'!$F$166</definedName>
    <definedName name="___MMM51">'[11]Basic Price'!$F$168</definedName>
    <definedName name="___MMM52">'[11]Basic Price'!$F$170</definedName>
    <definedName name="___MMM53">'[11]Basic Price'!$F$172</definedName>
    <definedName name="___MMM54">'[11]Basic Price'!$F$185</definedName>
    <definedName name="___mu1">'[12]har-sat'!$J$2</definedName>
    <definedName name="___XAG2">[16]BOW!$B$221</definedName>
    <definedName name="___XAG43">[16]BOW!$B$198</definedName>
    <definedName name="___XAG50">[16]BOW!$B$12</definedName>
    <definedName name="___XAG67">[16]BOW!$B$230</definedName>
    <definedName name="___XAW2">[16]BOW!$B$60</definedName>
    <definedName name="___XAW3">[16]BOW!$B$68</definedName>
    <definedName name="___XAW4">[16]BOW!$B$45</definedName>
    <definedName name="___XK010">[16]Analisa!$K$3774</definedName>
    <definedName name="___XK011">[16]Analisa!$K$3851</definedName>
    <definedName name="___XK012">[16]Analisa!$K$3928</definedName>
    <definedName name="___XK013">[16]Analisa!$K$4005</definedName>
    <definedName name="___XK014">[16]Analisa!$K$4082</definedName>
    <definedName name="___XK016">[16]Analisa!$K$4159</definedName>
    <definedName name="___XK017">[16]Analisa!$K$4236</definedName>
    <definedName name="___XK018">[16]Analisa!$K$4313</definedName>
    <definedName name="___XK020">[16]Analisa!$K$4390</definedName>
    <definedName name="___XK023">[16]Analisa!$K$4467</definedName>
    <definedName name="___XK024">[16]Analisa!$K$4544</definedName>
    <definedName name="___XK025">[16]Analisa!$K$4621</definedName>
    <definedName name="___XK026">[16]Analisa!$K$4698</definedName>
    <definedName name="___XK030">[16]Analisa!$K$4775</definedName>
    <definedName name="___XK035">[16]Analisa!$K$4852</definedName>
    <definedName name="___XK040">[16]Analisa!$K$4929</definedName>
    <definedName name="___XK110">[16]Analisa!$K$5006</definedName>
    <definedName name="___XK111">[16]Analisa!$K$5083</definedName>
    <definedName name="___XK112">[16]Analisa!$K$5160</definedName>
    <definedName name="___XK113">[16]Analisa!$K$5237</definedName>
    <definedName name="___XK114">[16]Analisa!$K$5314</definedName>
    <definedName name="___XK115">[16]Analisa!$K$5391</definedName>
    <definedName name="___XK116">[16]Analisa!$K$5468</definedName>
    <definedName name="___XK117">[16]Analisa!$K$5545</definedName>
    <definedName name="___XK118">[16]Analisa!$K$5622</definedName>
    <definedName name="___xk12">[16]Analisa!$I$513</definedName>
    <definedName name="___XK121">[16]Analisa!$K$5699</definedName>
    <definedName name="___XK122">[16]Analisa!$K$3389</definedName>
    <definedName name="___XK123">[16]Analisa!$K$3312</definedName>
    <definedName name="___XK124">[16]Analisa!$K$3235</definedName>
    <definedName name="___XK125">[16]Analisa!$K$3158</definedName>
    <definedName name="___xk126">[16]Analisa!$K$6149</definedName>
    <definedName name="___XK131">[16]Analisa!$K$6469</definedName>
    <definedName name="___XK132">[16]Analisa!$K$6546</definedName>
    <definedName name="___XK139">[16]Analisa!$K$6623</definedName>
    <definedName name="___XK140">[16]Analisa!$K$6700</definedName>
    <definedName name="___XK158">[16]Analisa!$K$3466</definedName>
    <definedName name="___XK175">[16]Analisa!$B$6466:$K$6541</definedName>
    <definedName name="___XK210">[16]Analisa!$K$3543</definedName>
    <definedName name="___XK211">[16]Analisa!$K$1772</definedName>
    <definedName name="___XK220">[16]Analisa!$K$3620</definedName>
    <definedName name="___XK221">[16]Analisa!$K$3697</definedName>
    <definedName name="___XK224">[16]Analisa!$K$1156</definedName>
    <definedName name="___XK225">[16]Analisa!$K$1849</definedName>
    <definedName name="___XK230">[16]Analisa!$K$309</definedName>
    <definedName name="___XK231">[16]Analisa!$K$386</definedName>
    <definedName name="___XK232">[16]Analisa!$K$6084</definedName>
    <definedName name="___XK233">[16]Analisa!$K$6161</definedName>
    <definedName name="___XK310">[16]Analisa!$K$4</definedName>
    <definedName name="___XK311">[16]Analisa!$K$82</definedName>
    <definedName name="___XK320">[16]Analisa!$K$155</definedName>
    <definedName name="___XK321">[16]Analisa!$K$232</definedName>
    <definedName name="___xk324">[16]Analisa!$G$639</definedName>
    <definedName name="___XK341">[16]Analisa!$K$5853</definedName>
    <definedName name="___XK342">[16]Analisa!$K$5930</definedName>
    <definedName name="___XK410">[16]Analisa!$K$6007</definedName>
    <definedName name="___XK411">[16]Analisa!$K$5776</definedName>
    <definedName name="___XK421">[16]Analisa!$K$2619</definedName>
    <definedName name="___XK422">[16]Analisa!$K$2696</definedName>
    <definedName name="___XK424">[16]Analisa!$K$2773</definedName>
    <definedName name="___XK510">[16]Analisa!$K$3004</definedName>
    <definedName name="___XK511">[16]Analisa!$K$2850</definedName>
    <definedName name="___XK512">[16]Analisa!$K$2927</definedName>
    <definedName name="___XK513">[16]Analisa!$K$2388</definedName>
    <definedName name="___XK514">[16]Analisa!$K$463</definedName>
    <definedName name="___XK515">[16]Analisa!$K$617</definedName>
    <definedName name="___XK516">[16]Analisa!$K$2542</definedName>
    <definedName name="___XK520">[16]Analisa!$K$694</definedName>
    <definedName name="___XK521">[16]Analisa!$K$771</definedName>
    <definedName name="___XK522">[16]Analisa!$K$848</definedName>
    <definedName name="___XK523">[16]Analisa!$K$925</definedName>
    <definedName name="___XK612">[16]Analisa!$K$2157</definedName>
    <definedName name="___XK615">[16]Analisa!$K$2305</definedName>
    <definedName name="___XK618">[16]Analisa!$K$1002</definedName>
    <definedName name="___XK636">[16]Analisa!$I$92</definedName>
    <definedName name="___XK638">[16]Analisa!$K$1079</definedName>
    <definedName name="___xk639">[16]Analisa!$H$1157</definedName>
    <definedName name="___XK705">[16]Analisa!$K$1926</definedName>
    <definedName name="___XK710">[16]Analisa!$K$2003</definedName>
    <definedName name="___XK715">[16]Analisa!$K$2079</definedName>
    <definedName name="___XK719">[16]Analisa!$B$2077:$K$2152</definedName>
    <definedName name="___XK720">[16]Analisa!$K$1310</definedName>
    <definedName name="___XK722">[16]Analisa!$K$7008</definedName>
    <definedName name="___XK725">[16]Analisa!$K$7238</definedName>
    <definedName name="___XK726">[16]Analisa!$K$7162</definedName>
    <definedName name="___xk730">[16]Analisa!$H$1431</definedName>
    <definedName name="___XK810">[16]Analisa!$K$1387</definedName>
    <definedName name="___XK815">[16]Analisa!$K$1464</definedName>
    <definedName name="___XK855">[16]Analisa!$K$1541</definedName>
    <definedName name="___XK865">[16]Analisa!$K$1695</definedName>
    <definedName name="__1__123Graph_ACHART_1" hidden="1">'[17]L 1'!$G$26:$V$26</definedName>
    <definedName name="__123Graph_A" hidden="1">#REF!</definedName>
    <definedName name="__123Graph_B" hidden="1">#REF!</definedName>
    <definedName name="__123Graph_X" hidden="1">#REF!</definedName>
    <definedName name="__DIV1">[10]BOQ!$G$19</definedName>
    <definedName name="__DIV10">[10]BOQ!$G$312</definedName>
    <definedName name="__DIV2">[10]BOQ!$G$37</definedName>
    <definedName name="__DIV3">[1]BOQ!$G$60</definedName>
    <definedName name="__DIV4">[1]BOQ!$G$73</definedName>
    <definedName name="__DIV5">[10]BOQ!$G$86</definedName>
    <definedName name="__DIV6">[10]BOQ!$G$124</definedName>
    <definedName name="__DIV7">[10]BOQ!$G$225</definedName>
    <definedName name="__DIV8">[10]BOQ!$G$275</definedName>
    <definedName name="__DIV9">[10]BOQ!$G$301</definedName>
    <definedName name="__dtr8">[18]DHSD!$G$38</definedName>
    <definedName name="__hsm01">[19]QUARI!$F$120</definedName>
    <definedName name="__hsm02">[19]QUARI!$F$232</definedName>
    <definedName name="__hsm06">[19]QUARI!$F$365</definedName>
    <definedName name="__hsm07">[19]QUARI!$F$456</definedName>
    <definedName name="__hsm16">[19]QUARI!$F$568</definedName>
    <definedName name="__hsm44">[19]QUARI!$F$680</definedName>
    <definedName name="__LLL01">'[10]4-Basic Price'!$F$8</definedName>
    <definedName name="__LLL02">'[10]4-Basic Price'!$F$9</definedName>
    <definedName name="__LLL03">'[10]4-Basic Price'!$F$10</definedName>
    <definedName name="__LLL04">'[11]Basic Price'!$F$14</definedName>
    <definedName name="__LLL05">'[11]Basic Price'!$F$16</definedName>
    <definedName name="__LLL06">'[11]Basic Price'!$F$18</definedName>
    <definedName name="__LLL07">'[11]Basic Price'!$F$20</definedName>
    <definedName name="__LLL08">'[11]Basic Price'!$F$22</definedName>
    <definedName name="__LLL09">'[11]Basic Price'!$F$24</definedName>
    <definedName name="__LLL10">'[11]Basic Price'!$F$26</definedName>
    <definedName name="__LLL11">'[11]Basic Price'!$F$28</definedName>
    <definedName name="__MDE35">'[9]Peralatan (2)'!$R$27</definedName>
    <definedName name="__ME35">'[9]Peralatan (2)'!$R$26</definedName>
    <definedName name="__MMM01">'[11]Basic Price'!$F$50</definedName>
    <definedName name="__MMM02">'[11]Basic Price'!$F$52</definedName>
    <definedName name="__MMM03">'[10]4-Basic Price'!$F$53</definedName>
    <definedName name="__MMM04">'[10]4-Basic Price'!$F$54</definedName>
    <definedName name="__MMM05">'[3]4-Basic Price'!$F$52</definedName>
    <definedName name="__MMM06">'[11]Basic Price'!$F$60</definedName>
    <definedName name="__MMM07">'[11]Basic Price'!$F$62</definedName>
    <definedName name="__MMM08">'[11]Basic Price'!$F$64</definedName>
    <definedName name="__MMM09">'[11]Basic Price'!$F$66</definedName>
    <definedName name="__MMM10">'[10]4-Basic Price'!$F$60</definedName>
    <definedName name="__MMM11">'[10]4-Basic Price'!$F$61</definedName>
    <definedName name="__MMM12">'[2]4-Basic Price'!$F$60</definedName>
    <definedName name="__MMM13">'[11]Basic Price'!$F$74</definedName>
    <definedName name="__MMM14">'[11]Basic Price'!$F$76</definedName>
    <definedName name="__MMM15">'[11]Basic Price'!$F$78</definedName>
    <definedName name="__MMM16">'[10]4-Basic Price'!$F$67</definedName>
    <definedName name="__MMM17">'[11]Basic Price'!$F$82</definedName>
    <definedName name="__MMM18">'[10]4-Basic Price'!$F$70</definedName>
    <definedName name="__MMM19">'[10]4-Basic Price'!$F$71</definedName>
    <definedName name="__MMM20">'[11]Basic Price'!$F$97</definedName>
    <definedName name="__MMM21">'[11]Basic Price'!$F$99</definedName>
    <definedName name="__MMM22">'[11]Basic Price'!$F$101</definedName>
    <definedName name="__MMM23">'[11]Basic Price'!$F$103</definedName>
    <definedName name="__MMM24">'[11]Basic Price'!$F$105</definedName>
    <definedName name="__MMM25">'[11]Basic Price'!$F$107</definedName>
    <definedName name="__MMM26">'[10]4-Basic Price'!$F$78</definedName>
    <definedName name="__MMM27">'[10]4-Basic Price'!$F$79</definedName>
    <definedName name="__MMM28">'[11]Basic Price'!$F$113</definedName>
    <definedName name="__MMM29">'[11]Basic Price'!$F$115</definedName>
    <definedName name="__MMM30">'[11]Basic Price'!$F$117</definedName>
    <definedName name="__MMM31">'[11]Basic Price'!$F$119</definedName>
    <definedName name="__MMM32">'[11]Basic Price'!$F$121</definedName>
    <definedName name="__MMM33">'[10]4-Basic Price'!$F$85</definedName>
    <definedName name="__MMM34">'[11]Basic Price'!$F$125</definedName>
    <definedName name="__MMM35">'[11]Basic Price'!$F$127</definedName>
    <definedName name="__MMM36">'[11]Basic Price'!$F$129</definedName>
    <definedName name="__MMM37">'[10]4-Basic Price'!$F$90</definedName>
    <definedName name="__MMM39">'[10]4-Basic Price'!$F$91</definedName>
    <definedName name="__MMM40">'[11]Basic Price'!$F$145</definedName>
    <definedName name="__MMM41">'[11]Basic Price'!$F$147</definedName>
    <definedName name="__MMM411">'[11]Basic Price'!$F$148</definedName>
    <definedName name="__MMM42">'[11]Basic Price'!$F$150</definedName>
    <definedName name="__MMM43">'[11]Basic Price'!$F$152</definedName>
    <definedName name="__MMM44">'[10]4-Basic Price'!$F$98</definedName>
    <definedName name="__MMM45">'[11]Basic Price'!$F$156</definedName>
    <definedName name="__MMM46">'[11]Basic Price'!$F$158</definedName>
    <definedName name="__MMM47">'[10]4-Basic Price'!$F$101</definedName>
    <definedName name="__MMM48">'[10]4-Basic Price'!$F$102</definedName>
    <definedName name="__MMM49">'[11]Basic Price'!$F$164</definedName>
    <definedName name="__MMM50">'[11]Basic Price'!$F$166</definedName>
    <definedName name="__MMM51">'[11]Basic Price'!$F$168</definedName>
    <definedName name="__MMM52">'[11]Basic Price'!$F$170</definedName>
    <definedName name="__MMM53">'[11]Basic Price'!$F$172</definedName>
    <definedName name="__MMM54">'[11]Basic Price'!$F$185</definedName>
    <definedName name="__mu1">'[12]har-sat'!$J$2</definedName>
    <definedName name="__TBL1">#REF!</definedName>
    <definedName name="__TBL2">#REF!</definedName>
    <definedName name="__TBL3">#REF!</definedName>
    <definedName name="__TBL4">#REF!</definedName>
    <definedName name="__TBL5">#REF!</definedName>
    <definedName name="__TBL6">#REF!</definedName>
    <definedName name="__XAG2">[20]BOW!$B$221</definedName>
    <definedName name="__XAG50">[20]BOW!$B$12</definedName>
    <definedName name="__XAW2">[20]BOW!$B$60</definedName>
    <definedName name="__XAW3">[20]BOW!$B$68</definedName>
    <definedName name="__XAW4">[20]BOW!$B$45</definedName>
    <definedName name="_1__123Graph_ACHART_1" hidden="1">'[21]L 1'!$G$26:$V$26</definedName>
    <definedName name="_2__123Graph_ACHART_1" hidden="1">[22]RAB!#REF!</definedName>
    <definedName name="_3__123Graph_ACHART_1" hidden="1">#REF!</definedName>
    <definedName name="_4__123Graph_ACHART_1" hidden="1">#REF!</definedName>
    <definedName name="_4__123Graph_XCHART_1" hidden="1">[23]RAB!#REF!</definedName>
    <definedName name="_Dist_Bin" hidden="1">#REF!</definedName>
    <definedName name="_DIV1">[24]BOQ!$G$31</definedName>
    <definedName name="_DIV10">[24]BOQ!$G$387</definedName>
    <definedName name="_DIV2">[24]BOQ!$G$56</definedName>
    <definedName name="_DIV3">[24]BOQ!$G$80</definedName>
    <definedName name="_DIV4">[24]BOQ!$G$93</definedName>
    <definedName name="_DIV5">[24]BOQ!$G$110</definedName>
    <definedName name="_DIV6">[24]BOQ!$G$164</definedName>
    <definedName name="_DIV7">[24]BOQ!$G$293</definedName>
    <definedName name="_DIV8">[24]BOQ!$G$351</definedName>
    <definedName name="_DIV9">[24]BOQ!$G$377</definedName>
    <definedName name="_dtr34">[18]DHSD!$G$37</definedName>
    <definedName name="_dtr8">[25]DHSD!$G$38</definedName>
    <definedName name="_EEE02">'[24]5-ALAT(1)'!$AW$9</definedName>
    <definedName name="_EEE05">'[24]5-ALAT(1)'!$AW$12</definedName>
    <definedName name="_EEE06">'[24]5-ALAT(1)'!$AW$13</definedName>
    <definedName name="_EEE07">'[24]5-ALAT(1)'!$AW$14</definedName>
    <definedName name="_EEE08">'[24]5-ALAT(1)'!$AW$15</definedName>
    <definedName name="_EEE09">'[24]5-ALAT(1)'!$AW$16</definedName>
    <definedName name="_EEE10">'[24]5-ALAT(1)'!$AW$17</definedName>
    <definedName name="_EEE11">'[24]5-ALAT(1)'!$AW$18</definedName>
    <definedName name="_EEE13">'[24]5-ALAT(1)'!$AW$20</definedName>
    <definedName name="_EEE15">'[24]5-ALAT(1)'!$AW$22</definedName>
    <definedName name="_EEE16">'[24]5-ALAT(1)'!$AW$23</definedName>
    <definedName name="_EEE17">'[24]5-ALAT(1)'!$AW$24</definedName>
    <definedName name="_EEE19">'[24]5-ALAT(1)'!$AW$26</definedName>
    <definedName name="_EEE22">'[24]5-ALAT(1)'!$AW$29</definedName>
    <definedName name="_EEE23">'[24]5-ALAT(1)'!$AW$30</definedName>
    <definedName name="_EEE27">'[24]5-ALAT(1)'!$AW$34</definedName>
    <definedName name="_EEE29">'[24]5-ALAT(1)'!$AW$36</definedName>
    <definedName name="_EEE31">'[24]5-ALAT(1)'!$AW$38</definedName>
    <definedName name="_Fill" hidden="1">#REF!</definedName>
    <definedName name="_xlnm._FilterDatabase" hidden="1">#REF!</definedName>
    <definedName name="_frm74">[26]NP!$L$1322:$V$1382</definedName>
    <definedName name="_hsm01">[27]QUARI!$F$120</definedName>
    <definedName name="_hsm02">[27]QUARI!$F$232</definedName>
    <definedName name="_hsm06">[27]QUARI!$F$365</definedName>
    <definedName name="_hsm07">[27]QUARI!$F$456</definedName>
    <definedName name="_hsm16">[27]QUARI!$F$568</definedName>
    <definedName name="_hsm44">[27]QUARI!$F$680</definedName>
    <definedName name="_Key1" localSheetId="5" hidden="1">[28]Schdule!$Z$16</definedName>
    <definedName name="_Key1" localSheetId="6" hidden="1">[28]Schdule!$Z$16</definedName>
    <definedName name="_Key1" localSheetId="4" hidden="1">[28]Schdule!$Z$16</definedName>
    <definedName name="_Key1" hidden="1">#REF!</definedName>
    <definedName name="_Key2" localSheetId="5" hidden="1">#REF!</definedName>
    <definedName name="_Key2" localSheetId="6" hidden="1">#REF!</definedName>
    <definedName name="_Key2" localSheetId="4" hidden="1">#REF!</definedName>
    <definedName name="_Key2" hidden="1">#REF!</definedName>
    <definedName name="_LLL01">'[24]4-Basic Price'!$F$8</definedName>
    <definedName name="_LLL02">'[24]4-Basic Price'!$F$9</definedName>
    <definedName name="_LLL03">'[24]4-Basic Price'!$F$10</definedName>
    <definedName name="_LLL04">'[11]Basic Price'!$F$14</definedName>
    <definedName name="_LLL05">'[11]Basic Price'!$F$16</definedName>
    <definedName name="_LLL06">'[11]Basic Price'!$F$18</definedName>
    <definedName name="_LLL07">'[11]Basic Price'!$F$20</definedName>
    <definedName name="_LLL08">'[11]Basic Price'!$F$22</definedName>
    <definedName name="_LLL09">'[11]Basic Price'!$F$24</definedName>
    <definedName name="_LLL10">'[11]Basic Price'!$F$26</definedName>
    <definedName name="_LLL11">'[11]Basic Price'!$F$28</definedName>
    <definedName name="_MatInverse_Out" hidden="1">#REF!</definedName>
    <definedName name="_MatMult_A" hidden="1">#REF!</definedName>
    <definedName name="_MatMult_AxB" hidden="1">#REF!</definedName>
    <definedName name="_MatMult_B" hidden="1">#REF!</definedName>
    <definedName name="_Mm01">[19]QUARI!$F$120</definedName>
    <definedName name="_MMM01">[29]Basic!$F$40</definedName>
    <definedName name="_MMM02">'[11]Basic Price'!$F$52</definedName>
    <definedName name="_MMM03">'[24]4-Basic Price'!$F$53</definedName>
    <definedName name="_MMM04">'[24]4-Basic Price'!$F$54</definedName>
    <definedName name="_MMM05">'[11]Basic Price'!$F$58</definedName>
    <definedName name="_MMM06">[29]Basic!$F$50</definedName>
    <definedName name="_MMM07">'[11]Basic Price'!$F$62</definedName>
    <definedName name="_MMM08">'[24]4-Basic Price'!$F$58</definedName>
    <definedName name="_MMM09">'[11]Basic Price'!$F$66</definedName>
    <definedName name="_MMM10">'[24]4-Basic Price'!$F$60</definedName>
    <definedName name="_MMM11">'[24]4-Basic Price'!$F$62</definedName>
    <definedName name="_MMM12">'[24]4-Basic Price'!$F$63</definedName>
    <definedName name="_MMM13">'[11]Basic Price'!$F$74</definedName>
    <definedName name="_MMM14">'[11]Basic Price'!$F$76</definedName>
    <definedName name="_MMM15">'[11]Basic Price'!$F$78</definedName>
    <definedName name="_MMM16">'[24]4-Basic Price'!$F$69</definedName>
    <definedName name="_MMM17">'[11]Basic Price'!$F$82</definedName>
    <definedName name="_MMM18">'[24]4-Basic Price'!$F$72</definedName>
    <definedName name="_MMM19">'[24]4-Basic Price'!$F$73</definedName>
    <definedName name="_MMM20">'[11]Basic Price'!$F$97</definedName>
    <definedName name="_MMM21">'[11]Basic Price'!$F$99</definedName>
    <definedName name="_MMM22">'[11]Basic Price'!$F$101</definedName>
    <definedName name="_MMM23">'[11]Basic Price'!$F$103</definedName>
    <definedName name="_MMM24">'[11]Basic Price'!$F$105</definedName>
    <definedName name="_MMM25">'[11]Basic Price'!$F$107</definedName>
    <definedName name="_MMM26">'[24]4-Basic Price'!$F$80</definedName>
    <definedName name="_MMM27">'[24]4-Basic Price'!$F$81</definedName>
    <definedName name="_MMM28">'[11]Basic Price'!$F$113</definedName>
    <definedName name="_MMM29">'[11]Basic Price'!$F$115</definedName>
    <definedName name="_MMM31">'[11]Basic Price'!$F$119</definedName>
    <definedName name="_MMM32">'[11]Basic Price'!$F$121</definedName>
    <definedName name="_MMM33">'[24]4-Basic Price'!$F$88</definedName>
    <definedName name="_MMM34">'[11]Basic Price'!$F$125</definedName>
    <definedName name="_MMM35">'[11]Basic Price'!$F$127</definedName>
    <definedName name="_MMM37">'[24]4-Basic Price'!$F$92</definedName>
    <definedName name="_MMM39">'[24]4-Basic Price'!$F$93</definedName>
    <definedName name="_MMM41">'[11]Basic Price'!$F$147</definedName>
    <definedName name="_MMM411">'[11]Basic Price'!$F$148</definedName>
    <definedName name="_MMM42">'[11]Basic Price'!$F$150</definedName>
    <definedName name="_MMM43">'[11]Basic Price'!$F$152</definedName>
    <definedName name="_MMM44">'[24]4-Basic Price'!$F$99</definedName>
    <definedName name="_MMM45">'[11]Basic Price'!$F$156</definedName>
    <definedName name="_MMM46">'[11]Basic Price'!$F$158</definedName>
    <definedName name="_MMM47">'[24]4-Basic Price'!$F$102</definedName>
    <definedName name="_MMM48">'[24]4-Basic Price'!$F$103</definedName>
    <definedName name="_MMM49">'[11]Basic Price'!$F$164</definedName>
    <definedName name="_MMM50">'[11]Basic Price'!$F$166</definedName>
    <definedName name="_MMM51">'[11]Basic Price'!$F$168</definedName>
    <definedName name="_MMM52">'[11]Basic Price'!$F$170</definedName>
    <definedName name="_MMM53">'[11]Basic Price'!$F$172</definedName>
    <definedName name="_MMM54">'[11]Basic Price'!$F$185</definedName>
    <definedName name="_mu1">'[12]har-sat'!$J$2</definedName>
    <definedName name="_Order1" localSheetId="5" hidden="1">0</definedName>
    <definedName name="_Order1" localSheetId="6" hidden="1">0</definedName>
    <definedName name="_Order1" localSheetId="4" hidden="1">0</definedName>
    <definedName name="_Order1" hidden="1">255</definedName>
    <definedName name="_Order2" hidden="1">255</definedName>
    <definedName name="_Parse_Out" hidden="1">#REF!</definedName>
    <definedName name="_Regression_Int">1</definedName>
    <definedName name="_Regression_X" hidden="1">#REF!</definedName>
    <definedName name="_rek1">[19]REKAP!$I$29</definedName>
    <definedName name="_Sort" localSheetId="5" hidden="1">[28]Schdule!$Z$16:$Z$112</definedName>
    <definedName name="_Sort" localSheetId="6" hidden="1">[28]Schdule!$Z$16:$Z$112</definedName>
    <definedName name="_Sort" localSheetId="4" hidden="1">[28]Schdule!$Z$16:$Z$112</definedName>
    <definedName name="_Sort" hidden="1">#REF!</definedName>
    <definedName name="_Table1_In1" hidden="1">#REF!</definedName>
    <definedName name="_TBL1">#REF!</definedName>
    <definedName name="_TBL2">#REF!</definedName>
    <definedName name="_TBL3">#REF!</definedName>
    <definedName name="_TBL4">#REF!</definedName>
    <definedName name="_TBL5">#REF!</definedName>
    <definedName name="_TBL6">#REF!</definedName>
    <definedName name="_XAF9">[20]BOW!$B$134</definedName>
    <definedName name="_XAG2">[20]BOW!$B$221</definedName>
    <definedName name="_XAG43">[20]BOW!$B$198</definedName>
    <definedName name="_XAG50">[20]BOW!$B$12</definedName>
    <definedName name="_XAG67">[20]BOW!$B$230</definedName>
    <definedName name="_XAW2">[20]BOW!$B$60</definedName>
    <definedName name="_XAW3">[20]BOW!$B$68</definedName>
    <definedName name="_XAW4">[20]BOW!$B$45</definedName>
    <definedName name="_XK010">[20]Analisa!$K$3774</definedName>
    <definedName name="_XK011">[20]Analisa!$K$3851</definedName>
    <definedName name="_XK012">[20]Analisa!$K$3928</definedName>
    <definedName name="_XK013">[20]Analisa!$K$4005</definedName>
    <definedName name="_XK014">[20]Analisa!$K$4082</definedName>
    <definedName name="_XK016">[20]Analisa!$K$4159</definedName>
    <definedName name="_XK017">[20]Analisa!$K$4236</definedName>
    <definedName name="_XK018">[20]Analisa!$K$4313</definedName>
    <definedName name="_XK020">[20]Analisa!$K$4390</definedName>
    <definedName name="_XK023">[20]Analisa!$K$4467</definedName>
    <definedName name="_XK024">[20]Analisa!$K$4544</definedName>
    <definedName name="_XK025">[20]Analisa!$K$4621</definedName>
    <definedName name="_XK026">[20]Analisa!$K$4698</definedName>
    <definedName name="_XK030">[20]Analisa!$K$4775</definedName>
    <definedName name="_XK035">[20]Analisa!$K$4852</definedName>
    <definedName name="_XK040">[20]Analisa!$K$4929</definedName>
    <definedName name="_XK110">[20]Analisa!$K$5006</definedName>
    <definedName name="_XK111">[20]Analisa!$K$5083</definedName>
    <definedName name="_XK112">[20]Analisa!$K$5160</definedName>
    <definedName name="_XK113">[20]Analisa!$K$5237</definedName>
    <definedName name="_XK114">[20]Analisa!$K$5314</definedName>
    <definedName name="_XK115">[20]Analisa!$K$5391</definedName>
    <definedName name="_XK116">[20]Analisa!$K$5468</definedName>
    <definedName name="_XK117">[20]Analisa!$K$5545</definedName>
    <definedName name="_XK118">[20]Analisa!$K$5622</definedName>
    <definedName name="_xk12">[20]Analisa!$I$513</definedName>
    <definedName name="_XK121">[20]Analisa!$K$5699</definedName>
    <definedName name="_XK122">[20]Analisa!$K$3389</definedName>
    <definedName name="_XK123">[20]Analisa!$K$3312</definedName>
    <definedName name="_XK124">[20]Analisa!$K$3235</definedName>
    <definedName name="_XK125">[20]Analisa!$K$3158</definedName>
    <definedName name="_xk126">[20]Analisa!$K$6149</definedName>
    <definedName name="_XK131">[20]Analisa!$K$6469</definedName>
    <definedName name="_XK132">[20]Analisa!$K$6546</definedName>
    <definedName name="_XK139">[20]Analisa!$K$6623</definedName>
    <definedName name="_XK140">[20]Analisa!$K$6700</definedName>
    <definedName name="_XK158">[20]Analisa!$K$3466</definedName>
    <definedName name="_XK175">[20]Analisa!$B$6466:$K$6541</definedName>
    <definedName name="_XK210">[20]Analisa!$K$3543</definedName>
    <definedName name="_XK211">[20]Analisa!$K$1772</definedName>
    <definedName name="_XK220">[20]Analisa!$K$3620</definedName>
    <definedName name="_XK221">[20]Analisa!$K$3697</definedName>
    <definedName name="_XK224">[20]Analisa!$K$1156</definedName>
    <definedName name="_XK225">[20]Analisa!$K$1849</definedName>
    <definedName name="_XK230">[20]Analisa!$K$309</definedName>
    <definedName name="_XK231">[20]Analisa!$K$386</definedName>
    <definedName name="_XK232">[20]Analisa!$K$6084</definedName>
    <definedName name="_XK233">[20]Analisa!$K$6161</definedName>
    <definedName name="_XK310">[20]Analisa!$K$4</definedName>
    <definedName name="_XK311">[20]Analisa!$K$82</definedName>
    <definedName name="_XK320">[20]Analisa!$K$155</definedName>
    <definedName name="_XK321">[20]Analisa!$K$232</definedName>
    <definedName name="_xk324">[20]Analisa!$G$639</definedName>
    <definedName name="_XK341">[20]Analisa!$K$5853</definedName>
    <definedName name="_XK342">[20]Analisa!$K$5930</definedName>
    <definedName name="_XK410">[20]Analisa!$K$6007</definedName>
    <definedName name="_XK411">[20]Analisa!$K$5776</definedName>
    <definedName name="_XK421">[20]Analisa!$K$2619</definedName>
    <definedName name="_XK422">[20]Analisa!$K$2696</definedName>
    <definedName name="_XK424">[20]Analisa!$K$2773</definedName>
    <definedName name="_XK510">[20]Analisa!$K$3004</definedName>
    <definedName name="_XK511">[20]Analisa!$K$2850</definedName>
    <definedName name="_XK512">[20]Analisa!$K$2927</definedName>
    <definedName name="_XK513">[20]Analisa!$K$2388</definedName>
    <definedName name="_XK514">[20]Analisa!$K$463</definedName>
    <definedName name="_XK515">[20]Analisa!$K$617</definedName>
    <definedName name="_XK516">[20]Analisa!$K$2542</definedName>
    <definedName name="_XK520">[20]Analisa!$K$694</definedName>
    <definedName name="_XK521">[20]Analisa!$K$771</definedName>
    <definedName name="_XK522">[20]Analisa!$K$848</definedName>
    <definedName name="_XK523">[20]Analisa!$K$925</definedName>
    <definedName name="_XK612">[20]Analisa!$K$2157</definedName>
    <definedName name="_XK615">[20]Analisa!$K$2305</definedName>
    <definedName name="_XK618">[20]Analisa!$K$1002</definedName>
    <definedName name="_XK636">[20]Analisa!$I$92</definedName>
    <definedName name="_XK638">[20]Analisa!$K$1079</definedName>
    <definedName name="_xk639">[20]Analisa!$H$1157</definedName>
    <definedName name="_XK705">[20]Analisa!$K$1926</definedName>
    <definedName name="_XK710">[20]Analisa!$K$2003</definedName>
    <definedName name="_XK715">[20]Analisa!$K$2079</definedName>
    <definedName name="_XK719">[20]Analisa!$B$2077:$K$2152</definedName>
    <definedName name="_XK720">[20]Analisa!$K$1310</definedName>
    <definedName name="_XK722">[20]Analisa!$K$7008</definedName>
    <definedName name="_XK725">[20]Analisa!$K$7238</definedName>
    <definedName name="_XK726">[20]Analisa!$K$7162</definedName>
    <definedName name="_xk730">[20]Analisa!$H$1431</definedName>
    <definedName name="_XK810">[20]Analisa!$K$1387</definedName>
    <definedName name="_XK815">[20]Analisa!$K$1464</definedName>
    <definedName name="_XK855">[20]Analisa!$K$1541</definedName>
    <definedName name="_XK865">[20]Analisa!$K$1695</definedName>
    <definedName name="a" localSheetId="5" hidden="1">[30]Mobilisasi!$G$30:$G$36</definedName>
    <definedName name="a" localSheetId="6" hidden="1">[30]Mobilisasi!$G$30:$G$36</definedName>
    <definedName name="a" localSheetId="4" hidden="1">[30]Mobilisasi!$G$30:$G$36</definedName>
    <definedName name="a">#REF!</definedName>
    <definedName name="aaa">#REF!</definedName>
    <definedName name="aanstamp.">[31]Progress!$C$22</definedName>
    <definedName name="AC">#REF!</definedName>
    <definedName name="afinis">[32]Harsat!$E$70</definedName>
    <definedName name="ag">'[33]SAT-DAS'!$I$27</definedName>
    <definedName name="aghls">[25]DHSD!$G$20</definedName>
    <definedName name="agksbc">[25]DHSD!$G$18</definedName>
    <definedName name="agkslk">[25]DHSD!$G$19</definedName>
    <definedName name="AGREGAT1">'[34]Kuantitas &amp; Harga'!$A$86:$K$100</definedName>
    <definedName name="agrt.a" hidden="1">'[35]Agregat Halus &amp; Kasar'!$H$12:$H$20</definedName>
    <definedName name="AHSP">#REF!</definedName>
    <definedName name="AIRCOMPRESOR611">[36]URAIAN!$J$2096</definedName>
    <definedName name="ALAT">[37]S_DAYA!$C$95:$E$142</definedName>
    <definedName name="Alat_Bantu">[38]harga!$D$88</definedName>
    <definedName name="ALATUTAMA">'[39]anlsa alat'!$BA$1:$BJ$118</definedName>
    <definedName name="Alumunium">[40]Harga!$D$22</definedName>
    <definedName name="AMP">'[39]anlsa alat'!$A$1:$J$59</definedName>
    <definedName name="Analisa_A.1">[40]Analisa!$L$11</definedName>
    <definedName name="Analisa_A.18">[40]Analisa!$L$36</definedName>
    <definedName name="Analisa_A.18a">[40]Analisa!$L$43</definedName>
    <definedName name="Analisa_A.2">[40]Analisa!$L$17</definedName>
    <definedName name="Analisa_A.4">[40]Analisa!$L$23</definedName>
    <definedName name="Analisa_F.22">[40]Analisa!$L$265</definedName>
    <definedName name="Analisa_F.26">[40]Analisa!$L$278</definedName>
    <definedName name="Analisa_F.33">[40]Analisa!$L$287</definedName>
    <definedName name="Analisa_F.33.a">[40]Analisa!$L$297</definedName>
    <definedName name="Analisa_F.34">[40]Analisa!$L$309</definedName>
    <definedName name="Analisa_F.36">[40]Analisa!$L$321</definedName>
    <definedName name="Analisa_F.36a">[40]Analisa!$L$738</definedName>
    <definedName name="Analisa_F.36b">[40]Analisa!$L$331</definedName>
    <definedName name="Analisa_F.38">[40]Analisa!$L$341</definedName>
    <definedName name="Analisa_G._VI.a">[40]Analisa!$L$141</definedName>
    <definedName name="Analisa_G.14">[40]Analisa!$L$476</definedName>
    <definedName name="Analisa_G.41a.1">[40]Analisa!$L$500</definedName>
    <definedName name="Analisa_G.41b">[40]Analisa!$L$518</definedName>
    <definedName name="Analisa_G.41c">[40]Analisa!$L$532</definedName>
    <definedName name="Analisa_G.41d">[40]Analisa!$L$537</definedName>
    <definedName name="Analisa_G.41e">[40]Analisa!$L$547</definedName>
    <definedName name="Analisa_G.50h">[40]Analisa!$L$151</definedName>
    <definedName name="Analisa_G.50h1">[40]Analisa!$L$695</definedName>
    <definedName name="Analisa_G.50q">[40]Analisa!$L$161</definedName>
    <definedName name="Analisa_G.53">[40]Analisa!$L$437</definedName>
    <definedName name="Analisa_G.6">[40]Analisa!$L$179</definedName>
    <definedName name="Analisa_G.67">[40]Analisa!$L$173</definedName>
    <definedName name="Analisa_G.69">[40]Analisa!$L$484</definedName>
    <definedName name="Analisa_G.79">[40]Analisa!$L$191</definedName>
    <definedName name="Analisa_H.10a">[40]Analisa!$L$402</definedName>
    <definedName name="Analisa_H.10b">[40]Analisa!$L$423</definedName>
    <definedName name="Analisa_H.11">[40]Analisa!$L$728</definedName>
    <definedName name="Analisa_H.8a">[40]Analisa!$L$392</definedName>
    <definedName name="Analisa_H.8b">[40]Analisa!$L$413</definedName>
    <definedName name="ANALISA_HARGA_SATUAN">[41]Sheet1!$X$3:$AH$54,[41]Sheet1!$X$72:$AH$111,[41]Sheet1!$X$134:$AH$174</definedName>
    <definedName name="Analisa_K.34">[40]Analisa!$L$469</definedName>
    <definedName name="Analisa_K10_K23_K28">[40]Analisa!$L$462</definedName>
    <definedName name="Analisa_K2_K23_K28">[40]Analisa!$L$448</definedName>
    <definedName name="Analisa_Pek._Paving">[40]Analisa!$L$706</definedName>
    <definedName name="Analisa101A">'[42]Analisa HSP'!$U$51</definedName>
    <definedName name="Analisa101B">'[42]Analisa HSP'!$U$231</definedName>
    <definedName name="Analisa101C">'[42]Analisa HSP'!$U$410</definedName>
    <definedName name="Analisa101D">'[42]Analisa HSP'!$U$589</definedName>
    <definedName name="Analisa101E">'[42]Analisa HSP'!$U$768</definedName>
    <definedName name="Analiswa_G.32c">[40]Analisa!$L$74</definedName>
    <definedName name="Analiswa_G.43">[40]Analisa!$L$86</definedName>
    <definedName name="Anl._L.11">[40]Analisa!$L$663</definedName>
    <definedName name="Anl._L.4">[40]Analisa!$L$676</definedName>
    <definedName name="Anl._L.5">[40]Analisa!$L$670</definedName>
    <definedName name="Anl._L.9">[40]Analisa!$L$654</definedName>
    <definedName name="Anl._Sul._Va">[40]Analisa!$L$556</definedName>
    <definedName name="Anl._Sul._Va1">[40]Analisa!$L$564</definedName>
    <definedName name="Anl._Sul._Va2">[40]Analisa!$L$572</definedName>
    <definedName name="Anl._Sul._Vb">[40]Analisa!$L$580</definedName>
    <definedName name="Anl._Sul._Vb1">[40]Analisa!$L$588</definedName>
    <definedName name="Anl._Sul._Vb2">[40]Analisa!$L$596</definedName>
    <definedName name="Anl._Sul._Vc">[40]Analisa!$L$604</definedName>
    <definedName name="Anl._Sul._Vc1">[40]Analisa!$L$612</definedName>
    <definedName name="Anl._Sul._Vc2">[40]Analisa!$L$620</definedName>
    <definedName name="Anl._Sul._Vc3">[40]Analisa!$L$629</definedName>
    <definedName name="Anl._Sul._Vd">[40]Analisa!$L$638</definedName>
    <definedName name="Anl._Sul._Vd1">[40]Analisa!$L$685</definedName>
    <definedName name="Anl._Sul._Ve">[40]Analisa!$L$646</definedName>
    <definedName name="Anl._Supl._F23">[40]Analisa!$L$717</definedName>
    <definedName name="Anl._Supl._VII">[40]Analisa!$L$350</definedName>
    <definedName name="Anl._Supl._VII.a">[40]Analisa!$L$361</definedName>
    <definedName name="Anl._Supl._VII.b">[40]Analisa!$L$371</definedName>
    <definedName name="Anl._Supl._VII.c">[40]Analisa!$L$381</definedName>
    <definedName name="Anl._Supl.III.b">[40]Analisa!$L$206</definedName>
    <definedName name="Anl._Supl.III.c">[40]Analisa!$L$221</definedName>
    <definedName name="Anl._Supl.III.e">[40]Analisa!$L$236</definedName>
    <definedName name="Anl._Supl.III.f">[40]Analisa!$L$251</definedName>
    <definedName name="anl.atapseng30">[43]ANALISA!$H$339</definedName>
    <definedName name="anl.betoncor136">[43]ANALISA!$H$310</definedName>
    <definedName name="Anl.bongkardinding">[44]ANALISA!$H$376</definedName>
    <definedName name="anl.bongkarlantai">[43]ANALISA!$H$394</definedName>
    <definedName name="anl.catkayu">[43]ANALISA!$H$609</definedName>
    <definedName name="anl.catplafond">[43]ANALISA!$H$590</definedName>
    <definedName name="anl.cattembok">[43]ANALISA!$H$578</definedName>
    <definedName name="Anl.f2">[43]ANALISA!$H$39</definedName>
    <definedName name="Anl.jalusi">[43]ANALISA!$H$119</definedName>
    <definedName name="anl.kacabuka">[43]ANALISA!$H$131</definedName>
    <definedName name="Anl.kacamati">[43]ANALISA!$H$158</definedName>
    <definedName name="Anl.kuda2">[43]ANALISA!$H$77</definedName>
    <definedName name="Anl.kusen">[43]ANALISA!$H$88</definedName>
    <definedName name="anl.lantaikeramik30">[43]ANALISA!$H$433</definedName>
    <definedName name="anl.listplankm2">[43]ANALISA!$H$60</definedName>
    <definedName name="anl.pasbata1.2">[43]ANALISA!$H$243</definedName>
    <definedName name="anl.pasbata1.4">[43]ANALISA!$H$228</definedName>
    <definedName name="Anl.pasirurug">[43]ANALISA!$H$23</definedName>
    <definedName name="Anl.pintupanel">[43]ANALISA!$H$110</definedName>
    <definedName name="anl.plafondtriplek3">[43]ANALISA!$H$182</definedName>
    <definedName name="anl.plester1.2">[43]ANALISA!$H$264</definedName>
    <definedName name="anl.plester1.4">[43]ANALISA!$H$284</definedName>
    <definedName name="anl.rabungseng30">[43]ANALISA!$H$349</definedName>
    <definedName name="anl.residu">[43]ANALISA!$H$382</definedName>
    <definedName name="asad">[45]Sheet1!$G$11</definedName>
    <definedName name="ascem">[25]DHSD!$G$23</definedName>
    <definedName name="ASPALSPRAYER611">[36]URAIAN!$J$2088</definedName>
    <definedName name="aspfin">[25]DHSD!$G$34</definedName>
    <definedName name="asprayer">[32]Harsat!$E$71</definedName>
    <definedName name="aspspr">[25]DHSD!$G$33</definedName>
    <definedName name="ATB">'[46]Analisa '!$A$662:$G$731</definedName>
    <definedName name="ATBL">'[46]Analisa '!$A$732:$G$800</definedName>
    <definedName name="B.List_Profil_4.5_cm">'[47]HSBU ANA'!$D$136</definedName>
    <definedName name="B.Paku__1___3_cm">'[47]HSBU ANA'!$D$61</definedName>
    <definedName name="b__Analisa_G.41__b">[40]Analisa!$L$518</definedName>
    <definedName name="b_0">[48]ANALISA!$K$57</definedName>
    <definedName name="Bahan">#REF!</definedName>
    <definedName name="BAHAN?">'[49]Harsat Bahan'!$A$6:$E$731</definedName>
    <definedName name="BAHAN521">[36]URAIAN!$J$1927</definedName>
    <definedName name="balokkam">'[12]har-sat'!$H$23</definedName>
    <definedName name="balokkuda21313">[43]ANALISA!$H$568</definedName>
    <definedName name="BalokRB1">[50]Analis!$I$82</definedName>
    <definedName name="BANG">#REF!</definedName>
    <definedName name="BAQ">[51]Analis!$E$475</definedName>
    <definedName name="BARIS">#REF!</definedName>
    <definedName name="batako">'[12]har-sat'!$H$20</definedName>
    <definedName name="Batu_Bata">[40]Harga!$D$27</definedName>
    <definedName name="Batu_Belah___Kali">[40]Harga!$D$29</definedName>
    <definedName name="Batu_Tempel">[40]Harga!$D$28</definedName>
    <definedName name="Batubata">[52]UPAH!$D$22</definedName>
    <definedName name="Baut_Angker">[40]Harga!$D$30</definedName>
    <definedName name="Baut_dia._1_2">[40]Harga!$D$31</definedName>
    <definedName name="Baut_Untuk_Atap_Metal">[40]Harga!$D$33</definedName>
    <definedName name="Bautkuda2">[43]UPAH!$D$87</definedName>
    <definedName name="BBB" localSheetId="5">[41]Sheet1!$X$3:$AH$54,[41]Sheet1!$X$72:$AH$111,[41]Sheet1!$X$134:$AH$174</definedName>
    <definedName name="BBB" localSheetId="6">[41]Sheet1!$X$3:$AH$54,[41]Sheet1!$X$72:$AH$111,[41]Sheet1!$X$134:$AH$174</definedName>
    <definedName name="BBB" localSheetId="4">[41]Sheet1!$X$3:$AH$54,[41]Sheet1!$X$72:$AH$111,[41]Sheet1!$X$134:$AH$174</definedName>
    <definedName name="bbb">#REF!</definedName>
    <definedName name="BBt">'[53]SAT-DAS'!$I$36</definedName>
    <definedName name="bbtn">[25]DHSD!$G$26</definedName>
    <definedName name="Bdz">'[53]SAT-DAS'!$I$67</definedName>
    <definedName name="besi">[48]ANALISA!$K$88</definedName>
    <definedName name="Besi_Beton_Polos">[40]Harga!$D$34</definedName>
    <definedName name="Besi_Polos">'[54]Daftar Besi Beton Polos'!$C$8:$K$114</definedName>
    <definedName name="besi10">[55]B.T!$C$9</definedName>
    <definedName name="besi12">[55]B.T!$C$11</definedName>
    <definedName name="besi16">[56]B.T!$C$15</definedName>
    <definedName name="besi19">[56]B.T!$C$18</definedName>
    <definedName name="besi6">[56]B.T!$C$5</definedName>
    <definedName name="besi8">[56]B.T!$C$7</definedName>
    <definedName name="BesiBeton">'[57]Upah Modifikasi'!$E$22</definedName>
    <definedName name="Besipolos">[38]harga!$D$40</definedName>
    <definedName name="beton175">'[12]har-sat'!$H$32</definedName>
    <definedName name="BGE">[51]Analis!$E$146</definedName>
    <definedName name="BILL1">[36]Bill!$I$20</definedName>
    <definedName name="BILL10">[36]Bill!$I$399</definedName>
    <definedName name="BILL2">[36]Bill!$I$44</definedName>
    <definedName name="BILL3">[36]Bill!$I$67</definedName>
    <definedName name="BILL4">[36]Bill!$I$93</definedName>
    <definedName name="BILL5">[36]Bill!$I$103</definedName>
    <definedName name="BILL6">[36]Bill!$I$130</definedName>
    <definedName name="BILL7">[36]Bill!$I$270</definedName>
    <definedName name="BILL8">[36]Bill!$I$327</definedName>
    <definedName name="BILL9">[36]Bill!$I$385</definedName>
    <definedName name="Bitumen.Residual.Utk.Pek.Minoor">'[46]Analisa '!$A$935:$G$994</definedName>
    <definedName name="bka">[25]DHSD!$G$17</definedName>
    <definedName name="bkal">'[58]DU&amp;B'!$F$16</definedName>
    <definedName name="bkali">'[12]har-sat'!$H$8</definedName>
    <definedName name="BL">#REF!</definedName>
    <definedName name="BL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T">#REF!</definedName>
    <definedName name="Bonbon_keramik_setelah_dipasang">'[59]HARGA BAHAN'!$F$21</definedName>
    <definedName name="bor_80">[48]ANALISA!$K$50</definedName>
    <definedName name="borneo">'[12]har-sat'!$H$25</definedName>
    <definedName name="bouwplank">[60]Progress!$C$15</definedName>
    <definedName name="BRP">#REF!</definedName>
    <definedName name="Bt">'[61]SAT-DAS'!$I$27</definedName>
    <definedName name="BULLDOZER">'[39]anlsa alat'!$A$178:$J$236</definedName>
    <definedName name="C_">#REF!</definedName>
    <definedName name="C_436">#REF!</definedName>
    <definedName name="Camp.Aspal.Panas.Utk.Pek.Minor">'[46]Analisa '!$A$865:$G$934</definedName>
    <definedName name="CANCEL">'[62]2'!$L$720:$W$781</definedName>
    <definedName name="CAPE01">[63]ALAT!$Q$19</definedName>
    <definedName name="CAPE03">[27]ALAT!$Q$21</definedName>
    <definedName name="cape06">[27]ALAT!$Q$24</definedName>
    <definedName name="CAPE09">[27]ALAT!$Q$27</definedName>
    <definedName name="CAPE15">[27]ALAT!$Q$33</definedName>
    <definedName name="Cat_Kayu_Mengkilat">[40]Harga!$D$37</definedName>
    <definedName name="Cat_Menie">[40]Harga!$D$38</definedName>
    <definedName name="Cat_Tembok">[40]Harga!$D$39</definedName>
    <definedName name="CC">#REF!</definedName>
    <definedName name="ccren">[64]TAB!$F$47</definedName>
    <definedName name="cdh">[64]TAB!$F$74</definedName>
    <definedName name="cdt">[64]TAB!$F$23</definedName>
    <definedName name="CE_7">#REF!</definedName>
    <definedName name="cek">[24]Rekap!$H$33</definedName>
    <definedName name="ckk">[64]TAB!$F$43</definedName>
    <definedName name="clt">[64]TAB!$F$71</definedName>
    <definedName name="cmix">[25]DHSD!$G$36</definedName>
    <definedName name="CMr">'[53]SAT-DAS'!$I$68</definedName>
    <definedName name="Code" hidden="1">#REF!</definedName>
    <definedName name="comp">[25]DHSD!$G$35</definedName>
    <definedName name="compress">[65]Harsat!$E$73</definedName>
    <definedName name="CONCRETEMIXER">'[39]anlsa alat'!$A$296:$J$354</definedName>
    <definedName name="CONCRETEVIBRO">'[39]anlsa alat'!$A$1122:$J$1180</definedName>
    <definedName name="covib">[25]DHSD!$G$46</definedName>
    <definedName name="CRANE">'[39]anlsa alat'!$A$355:$J$413</definedName>
    <definedName name="cst">[64]TAB!$F$63</definedName>
    <definedName name="cv">[66]Profil!$C$2</definedName>
    <definedName name="cvr">[64]TAB!$F$39</definedName>
    <definedName name="cwp">[64]TAB!$F$59</definedName>
    <definedName name="D" localSheetId="5">'[67]Bhn+Uph'!$B$15:$E$630</definedName>
    <definedName name="D" localSheetId="6">'[67]Bhn+Uph'!$B$15:$E$630</definedName>
    <definedName name="D" localSheetId="4">'[67]Bhn+Uph'!$B$15:$E$630</definedName>
    <definedName name="D">[68]RAB!#REF!</definedName>
    <definedName name="DAFTARSEWA">'[39]anlsa alat'!$AO$1:$AX$49</definedName>
    <definedName name="DATA">[69]HS!$B$9:$H$110</definedName>
    <definedName name="data1" hidden="1">#REF!</definedName>
    <definedName name="data2" hidden="1">#REF!</definedName>
    <definedName name="data3" hidden="1">#REF!</definedName>
    <definedName name="_xlnm.Database" hidden="1">#REF!</definedName>
    <definedName name="DATAUPAH">'[24]4-Basic Price'!$E$8:$F$38</definedName>
    <definedName name="DD">#REF!</definedName>
    <definedName name="dfd">'[3]4-Basic Price'!$F$9</definedName>
    <definedName name="dgdf">'[70]SAT-DAS'!$J$68</definedName>
    <definedName name="dharga">[71]Hrg!$B$13:$F$13</definedName>
    <definedName name="DIA">#REF!</definedName>
    <definedName name="Discount" hidden="1">#REF!</definedName>
    <definedName name="display_area_2" hidden="1">#REF!</definedName>
    <definedName name="Divisi1">'[72]Anl. Mobilisasi'!$K$57</definedName>
    <definedName name="Divisi10">'[72]Kuantitas &amp; Harga'!$I$176</definedName>
    <definedName name="Divisi3">'[72]Kuantitas &amp; Harga'!$I$48</definedName>
    <definedName name="Divisi4">'[72]Kuantitas &amp; Harga'!$I$59</definedName>
    <definedName name="Divisi5">'[72]Kuantitas &amp; Harga'!$I$69</definedName>
    <definedName name="Divisi6">'[72]Kuantitas &amp; Harga'!$I$82</definedName>
    <definedName name="Divisi7">'[72]Kuantitas &amp; Harga'!$I$106</definedName>
    <definedName name="Divisi8">'[72]Kuantitas &amp; Harga'!$I$138</definedName>
    <definedName name="dm">1416.98</definedName>
    <definedName name="Doorstop">#REF!</definedName>
    <definedName name="dppvc">'[12]har-sat'!$H$33</definedName>
    <definedName name="dri">[64]DH!$G$13</definedName>
    <definedName name="DUMPTRUCK1">'[39]anlsa alat'!$A$414:$J$472</definedName>
    <definedName name="DUMPTRUCK2">'[39]anlsa alat'!$A$473:$J$531</definedName>
    <definedName name="DUMPTRUCK511">[36]URAIAN!$J$1657</definedName>
    <definedName name="DUMPTRUCK512">[36]URAIAN!$J$1810</definedName>
    <definedName name="DUMPTRUCK521">[36]URAIAN!$J$1965</definedName>
    <definedName name="DUMPTRUCK611">[36]URAIAN!$J$2111</definedName>
    <definedName name="E">#REF!</definedName>
    <definedName name="ebd">[64]TAB!$K$32</definedName>
    <definedName name="ecr">[64]TAB!$K$27</definedName>
    <definedName name="ecren">[64]TAB!$K$47</definedName>
    <definedName name="edh">[64]TAB!$K$74</definedName>
    <definedName name="edt">[64]TAB!$K$23</definedName>
    <definedName name="EE">#REF!</definedName>
    <definedName name="EEE06REV">'[73]5-Peralatan'!$AW$13</definedName>
    <definedName name="EEE09REV1">'[73]5-Peralatan'!$AW$16</definedName>
    <definedName name="EEE17REV">'[73]5-Peralatan'!$AW$24</definedName>
    <definedName name="EEE17REV1">'[73]5-Peralatan'!$AW$24</definedName>
    <definedName name="eex">[64]TAB!$K$11</definedName>
    <definedName name="egen">[64]TAB!$K$67</definedName>
    <definedName name="egr">[64]TAB!$K$55</definedName>
    <definedName name="ekk">[64]TAB!$K$43</definedName>
    <definedName name="ELT">[64]TAB!$K$71</definedName>
    <definedName name="emc">[64]TAB!$K$51</definedName>
    <definedName name="emco">'[12]har-sat'!$H$37</definedName>
    <definedName name="Engsel3">[43]UPAH!$D$39</definedName>
    <definedName name="Engsel4">[43]UPAH!$D$38</definedName>
    <definedName name="est">[64]TAB!$K$63</definedName>
    <definedName name="Eternit">[40]Harga!$D$42</definedName>
    <definedName name="evfv">'[74]SAT-DAS'!$J$54</definedName>
    <definedName name="EVR">[64]TAB!$K$39</definedName>
    <definedName name="ewp">[64]TAB!$K$59</definedName>
    <definedName name="exc">[25]DHSD!$G$39</definedName>
    <definedName name="EXCAVATOR">'[75]An. Alat'!$A$237:$J$237</definedName>
    <definedName name="EXCAVATOR321">[36]URAIAN!$J$889</definedName>
    <definedName name="Excel_BuiltIn_Print_Titles">'[76]Upah Bahan'!$A$7:$IV$8</definedName>
    <definedName name="F">[77]REKAPITULASI!$E$20</definedName>
    <definedName name="fadf">'[70]SAT-DAS'!$J$20</definedName>
    <definedName name="faf">'[70]SAT-DAS'!$J$14</definedName>
    <definedName name="FCode" hidden="1">#REF!</definedName>
    <definedName name="FORM21">'[78]3-DIV2'!$L$1:$V$61</definedName>
    <definedName name="FORM22L">'[78]3-DIV2'!$L$121:$V$121</definedName>
    <definedName name="FORM231">'[78]3-DIV2'!$L$123:$V$183</definedName>
    <definedName name="FORM232">'[78]3-DIV2'!$L$243:$V$303</definedName>
    <definedName name="FORM233">'[78]3-DIV2'!$L$363:$V$423</definedName>
    <definedName name="Form234">'[78]3-DIV2'!$L$483:$V$543</definedName>
    <definedName name="Form235">'[78]3-DIV2'!$L$603:$V$663</definedName>
    <definedName name="Form236">'[78]3-DIV2'!$L$854:$V$914</definedName>
    <definedName name="FORM242">'[78]3-DIV2'!$L$978:$V$1038</definedName>
    <definedName name="FORM243">'[78]3-DIV2'!$L$1039:$V$1100</definedName>
    <definedName name="FORM311">'[79]3-DIV3'!$L$1:$V$61</definedName>
    <definedName name="FORM312">'[79]3-DIV3'!$L$121:$V$181</definedName>
    <definedName name="FORM313">'[79]3-DIV3'!$L$255:$V$315</definedName>
    <definedName name="FORM314">'[79]3-DIV3'!$L$375:$V$435</definedName>
    <definedName name="FORM315">'[79]3-DIV3'!$L$1766:$V$1826</definedName>
    <definedName name="FORM319">'[79]3-DIV3'!$L$1886:$V$1946</definedName>
    <definedName name="FORM322">'[79]3-DIV3'!$L$1947:$V$2007</definedName>
    <definedName name="FORM323">'[79]3-DIV3'!$L$2126:$V$2186</definedName>
    <definedName name="FORM324">'[79]3-DIV3'!$L$2305:$V$2365</definedName>
    <definedName name="FORM331">'[79]3-DIV3'!$L$2427:$V$2487</definedName>
    <definedName name="FORM346">'[79]3-DIV3'!$L$2547:$V$2607</definedName>
    <definedName name="FORM421">'[80]3-DIV4'!$L$1:$V$61</definedName>
    <definedName name="FORM422">'[80]3-DIV4'!$L$180:$V$240</definedName>
    <definedName name="FORM423">'[80]3-DIV4'!$L$479:$V$539</definedName>
    <definedName name="FORM424">'[80]3-DIV4'!$L$359:$V$419</definedName>
    <definedName name="FORM425">'[80]3-DIV4'!$L$718:$V$778</definedName>
    <definedName name="FORM426">'[80]3-DIV4'!$L$897:$V$957</definedName>
    <definedName name="FORM427">'[80]3-DIV4'!$L$1017:$V$1077</definedName>
    <definedName name="FORM511">'[81]3-DIV5'!$L$1:$V$61</definedName>
    <definedName name="FORM512">'[81]3-DIV5'!$L$180:$V$240</definedName>
    <definedName name="FORM521">'[81]3-DIV5'!$L$359:$V$419</definedName>
    <definedName name="FORM522">'[81]3-DIV5'!$L$3075:$V$3135</definedName>
    <definedName name="FORM541">'[81]3-DIV5'!$L$3254:$V$3314</definedName>
    <definedName name="FORM542">'[81]3-DIV5'!$L$3374:$V$3434</definedName>
    <definedName name="G">[77]REKAPITULASI!$E$22</definedName>
    <definedName name="G.Batuan">'[46]Analisa '!$A$214:$G$275</definedName>
    <definedName name="G.Biasa">'[46]Analisa '!$A$152:$G$213</definedName>
    <definedName name="G_50H">'[82]Analisa BOW'!$N$172</definedName>
    <definedName name="gad">'[83]SAT-DAS'!$J$59</definedName>
    <definedName name="galtanahkons">[84]analisa!$I$582</definedName>
    <definedName name="galvalum">'[12]har-sat'!$H$47</definedName>
    <definedName name="galvanis4">'[85]Upah '!$F$43</definedName>
    <definedName name="GENSET">'[75]An. Alat'!$A$238:$J$296</definedName>
    <definedName name="Geotex">[86]Beton!$L$2153:$V$2213</definedName>
    <definedName name="gf">'[87]SAT-DAS'!$J$22</definedName>
    <definedName name="ghgh">'[70]SAT-DAS'!$J$65</definedName>
    <definedName name="ghghh">'[70]SAT-DAS'!$J$38</definedName>
    <definedName name="gip">'[12]har-sat'!$H$41</definedName>
    <definedName name="Grv">'[53]SAT-DAS'!$I$30</definedName>
    <definedName name="gsfg">'[70]SAT-DAS'!$J$38</definedName>
    <definedName name="H">#REF!</definedName>
    <definedName name="H_2">#REF!</definedName>
    <definedName name="H_3">#REF!</definedName>
    <definedName name="h_batu_kali">[88]upah!$F$14</definedName>
    <definedName name="h_cat_dasar_vinilex">[88]upah!$F$45</definedName>
    <definedName name="h_cat_super_vibilex">[88]upah!$F$44</definedName>
    <definedName name="h_harga_keramik_dinding_20x25">[88]upah!$F$21</definedName>
    <definedName name="h_kayu_klas_I_kusen">[88]upah!$F$32</definedName>
    <definedName name="h_kayu_klasII">[88]upah!$F$33</definedName>
    <definedName name="h_kep">'[89]HARGA UPAH BAHAN'!$D$9</definedName>
    <definedName name="H_Kepala_tukang">[88]upah!$F$5</definedName>
    <definedName name="h_keramik_20x20">[88]upah!$F$20</definedName>
    <definedName name="h_keramik_lantai_40x40_Merk_ikad">[88]upah!$F$18</definedName>
    <definedName name="h_keramik30x30">[88]upah!$F$19</definedName>
    <definedName name="h_list_kayu_0.5x2.5">[88]upah!$F$35</definedName>
    <definedName name="h_man">'[89]HARGA UPAH BAHAN'!$D$10</definedName>
    <definedName name="h_multyplek9mm">[88]upah!$F$41</definedName>
    <definedName name="h_papan_listplak_25x400">[88]upah!$F$39</definedName>
    <definedName name="h_paving_block">[88]upah!$F$28</definedName>
    <definedName name="h_pek">'[89]HARGA UPAH BAHAN'!$D$7</definedName>
    <definedName name="h_semen_andalas">[88]upah!$F$17</definedName>
    <definedName name="H_triplek_3_mm">[88]upah!$F$40</definedName>
    <definedName name="h_tuk">'[89]HARGA UPAH BAHAN'!$D$8</definedName>
    <definedName name="Hakangin">#REF!</definedName>
    <definedName name="Hammer">[90]harga!$D$78</definedName>
    <definedName name="Handeldek">#REF!</definedName>
    <definedName name="haraga">[91]Hrg!$B$8:$F$10</definedName>
    <definedName name="HARGA">[69]HS!$M$5</definedName>
    <definedName name="harga1">[92]Hrg!$B$8:$F$9</definedName>
    <definedName name="hargaBasic">[93]input!$B$2:$E$134</definedName>
    <definedName name="HASIL">'[36]Rekap Bill'!$H$31</definedName>
    <definedName name="hfg">'[87]SAT-DAS'!$J$15</definedName>
    <definedName name="hgblkdhlh" hidden="1">[94]Sheet2!$H$54:$S$54</definedName>
    <definedName name="hgh">'[3]4-Basic Price'!$F$8</definedName>
    <definedName name="HiddenRows" hidden="1">#REF!</definedName>
    <definedName name="hjhgj">'[70]SAT-DAS'!$J$17</definedName>
    <definedName name="HRG">#REF!</definedName>
    <definedName name="HSAA">[27]AGGR!$H$302</definedName>
    <definedName name="HSAC">[27]AGGR!$H$430</definedName>
    <definedName name="HSAh">[27]AGGR!$H$89</definedName>
    <definedName name="HSAk">[27]AGGR!$H$74</definedName>
    <definedName name="hsRp1">[27]QUARI!$F$79</definedName>
    <definedName name="hsRp2">[27]QUARI!$F$110</definedName>
    <definedName name="hydrolik">[64]DH!$G$33</definedName>
    <definedName name="Ijuk">[40]Harga!$D$46</definedName>
    <definedName name="iones" hidden="1">'[35]Agregat Halus &amp; Kasar'!$H$12:$H$20</definedName>
    <definedName name="ISI">#REF!</definedName>
    <definedName name="J" localSheetId="5">[77]REKAPITULASI!$E$24</definedName>
    <definedName name="J" localSheetId="6">[77]REKAPITULASI!$E$24</definedName>
    <definedName name="J" localSheetId="4">[77]REKAPITULASI!$E$24</definedName>
    <definedName name="J">#REF!</definedName>
    <definedName name="jack">[32]Harsat!$E$94</definedName>
    <definedName name="JACKHAMMER">'[75]An. Alat'!$A$711:$J$769</definedName>
    <definedName name="jer">'[95]Kuantitas &amp; Harga'!$A$100:$J$119</definedName>
    <definedName name="Jrgambar">'[57]Upah Modifikasi'!$E$16</definedName>
    <definedName name="JUDUL">[36]Menu!$B$2</definedName>
    <definedName name="K">#REF!</definedName>
    <definedName name="K_PJ">#REF!</definedName>
    <definedName name="K_SAN">#REF!</definedName>
    <definedName name="Kabel2.5">[43]UPAH!$D$48</definedName>
    <definedName name="Kaca">#REF!</definedName>
    <definedName name="Kaca_tebal_3_mm">[40]Harga!$D$57</definedName>
    <definedName name="Kaca_tebal_5_mm">[40]Harga!$D$56</definedName>
    <definedName name="Kapur_Batu">[40]Harga!$D$89</definedName>
    <definedName name="kasomer">'[12]har-sat'!$H$26</definedName>
    <definedName name="Kawat_Beton">[40]Harga!$D$47</definedName>
    <definedName name="Kawat_Las">[40]Harga!$D$49</definedName>
    <definedName name="kawatbeton">'[12]har-sat'!$H$14</definedName>
    <definedName name="KawatBtn">'[57]Upah Modifikasi'!$E$23</definedName>
    <definedName name="Kawatdigalvano">'[57]Upah Modifikasi'!$E$30</definedName>
    <definedName name="Kayu_Bekisting">[40]Harga!$D$61</definedName>
    <definedName name="Kayu_Kaso_5_7">[40]Harga!$D$62</definedName>
    <definedName name="Kayu_Klas_I__Damar_Laut_Seumantok_dll">[40]Harga!$D$58</definedName>
    <definedName name="Kayu_Klas_II">[40]Harga!$D$59</definedName>
    <definedName name="Kayu_Rangka">[40]Harga!$D$60</definedName>
    <definedName name="Kayu_Reng_3_4">[40]Harga!$D$63</definedName>
    <definedName name="KayuBekisting">'[57]Upah Modifikasi'!$E$28</definedName>
    <definedName name="KB">#REF!</definedName>
    <definedName name="kbet">'[58]DU&amp;B'!$F$17</definedName>
    <definedName name="kbeton">[32]Harsat!$E$40</definedName>
    <definedName name="KBr">'[96]SAT-DAS'!$I$38</definedName>
    <definedName name="KBST">#REF!</definedName>
    <definedName name="KBt">'[53]SAT-DAS'!$I$37</definedName>
    <definedName name="kep.tkg">'[12]har-sat'!$H$77</definedName>
    <definedName name="Kepala.Tukang">'[97]DAFTAR HARGA'!$E$12</definedName>
    <definedName name="Kepala_Tukang">[40]Harga!$D$14</definedName>
    <definedName name="Kepalatukang">[90]harga!$D$6</definedName>
    <definedName name="Keptu">[98]Bahan!$D$15</definedName>
    <definedName name="Keramik_Uk._20_x_20_cm_Corak_Warna">[40]Harga!$D$51</definedName>
    <definedName name="Keramik_Uk._20_x_25_cm_Corak_Warna">[40]Harga!$D$50</definedName>
    <definedName name="Keramik_Uk._30_x_30_cm_Corak_Warna">[40]Harga!$D$52</definedName>
    <definedName name="Keramik_Uk._30_x_30_cm_Putih_Polos">[40]Harga!$D$53</definedName>
    <definedName name="Kerikil_Beton">[40]Harga!$D$21</definedName>
    <definedName name="Kertas_Amplas">[40]Harga!$D$54</definedName>
    <definedName name="kkl">'[3]4-Basic Price'!$F$57</definedName>
    <definedName name="KME">#REF!</definedName>
    <definedName name="Kolom2020">[43]ANALISA!$H$552</definedName>
    <definedName name="KolomK1">[99]Analisa!$I$90</definedName>
    <definedName name="KolomKP">[99]Analisa!$I$81</definedName>
    <definedName name="KolomRB1">[99]Analisa!$I$99</definedName>
    <definedName name="KolomRB2">[99]Analisa!$I$108</definedName>
    <definedName name="Koral_Beton">[40]Harga!$D$55</definedName>
    <definedName name="KP">#REF!</definedName>
    <definedName name="kperancah">[32]Harsat!$E$39</definedName>
    <definedName name="KPST">#REF!</definedName>
    <definedName name="Kptukang">'[57]Upah Modifikasi'!$E$14</definedName>
    <definedName name="krankitchen">'[12]har-sat'!$H$52</definedName>
    <definedName name="krmddg">'[12]har-sat'!$H$35</definedName>
    <definedName name="krmlt20">'[12]har-sat'!$H$34</definedName>
    <definedName name="krsine">[25]DHSD!$G$24</definedName>
    <definedName name="KS">#REF!</definedName>
    <definedName name="KSAN">#REF!</definedName>
    <definedName name="KSST">#REF!</definedName>
    <definedName name="KST">#REF!</definedName>
    <definedName name="ktkc">[100]DUB!$F$11</definedName>
    <definedName name="KU">#REF!</definedName>
    <definedName name="Kuas_3">[40]Harga!$D$68</definedName>
    <definedName name="kuda">[31]Progress!$C$49</definedName>
    <definedName name="Kuncipacok">[43]UPAH!$D$77</definedName>
    <definedName name="Kuncipintu2slaag">[43]UPAH!$D$78</definedName>
    <definedName name="KURVA">[101]REKAPITULASI!$E$12</definedName>
    <definedName name="KUST">#REF!</definedName>
    <definedName name="kwbro">[100]DUB!$F$22</definedName>
    <definedName name="kwbtn">[25]DHSD!$G$27</definedName>
    <definedName name="kydol">[100]DUB!$F$23</definedName>
    <definedName name="kyprch">[25]DHSD!$G$29</definedName>
    <definedName name="l_061">'[102]Upah&amp;Bhn '!$L$80</definedName>
    <definedName name="L_071">'[102]Upah&amp;Bhn '!$L$81</definedName>
    <definedName name="L_072">[103]Upah!$L$83</definedName>
    <definedName name="l_073">[103]Upah!$L$84</definedName>
    <definedName name="L_079">[103]Upah!$L$85</definedName>
    <definedName name="L_081">'[102]Upah&amp;Bhn '!$L$85</definedName>
    <definedName name="L_082">'[102]Upah&amp;Bhn '!$L$86</definedName>
    <definedName name="L_089">[103]Upah!$L$88</definedName>
    <definedName name="L_091">'[102]Upah&amp;Bhn '!$L$88</definedName>
    <definedName name="L_092">'[102]Upah&amp;Bhn '!$L$89</definedName>
    <definedName name="L_099">[103]Upah!$L$91</definedName>
    <definedName name="L_101">'[102]Upah&amp;Bhn '!$L$91</definedName>
    <definedName name="L_103">'[102]Upah&amp;Bhn '!$L$92</definedName>
    <definedName name="L_106">'[102]Upah&amp;Bhn '!$L$93</definedName>
    <definedName name="L_511">#REF!</definedName>
    <definedName name="L_851">#REF!</definedName>
    <definedName name="LAGI">#REF!</definedName>
    <definedName name="Lamputl10">[43]UPAH!$D$80</definedName>
    <definedName name="Lamputl20">[43]UPAH!$D$81</definedName>
    <definedName name="Lap.Perekat">'[46]Analisa '!$A$533:$G$592</definedName>
    <definedName name="Lap.Resap.Pengikat">'[46]Analisa '!$A$471:$G$532</definedName>
    <definedName name="Laston.AC">'[46]Analisa '!$A$593:$G$661</definedName>
    <definedName name="latasir">[84]analisa!$I$363</definedName>
    <definedName name="Lem_Fox">[40]Harga!$D$72</definedName>
    <definedName name="Lempengan_Rumput">[40]Harga!$D$69</definedName>
    <definedName name="Lis_Kayu_Profil">[40]Harga!$D$70</definedName>
    <definedName name="List">#REF!</definedName>
    <definedName name="List_Kayu_0_5_x_2_5_cm">[40]Harga!$D$71</definedName>
    <definedName name="ljk">'[70]SAT-DAS'!$J$20</definedName>
    <definedName name="LL_12">#REF!</definedName>
    <definedName name="LL_123">#REF!</definedName>
    <definedName name="M">'[36]Daftar Harga'!$E$17</definedName>
    <definedName name="m_010">[103]Upah!$M$10</definedName>
    <definedName name="M_013">[103]Upah!$M$12</definedName>
    <definedName name="m_014">[103]Upah!$M$13</definedName>
    <definedName name="m_020">[103]Upah!$M$14</definedName>
    <definedName name="m_021">[103]Upah!$M$15</definedName>
    <definedName name="m_022">[103]Upah!$M$16</definedName>
    <definedName name="m_023">[103]Upah!$M$17</definedName>
    <definedName name="m_024">[103]Upah!$M$18</definedName>
    <definedName name="m_025">[103]Upah!$M$19</definedName>
    <definedName name="m_026">[103]Upah!$M$20</definedName>
    <definedName name="m_031">[103]Upah!$M$21</definedName>
    <definedName name="m_033">[103]Upah!$M$22</definedName>
    <definedName name="m_040">[103]Upah!$M$23</definedName>
    <definedName name="m_041">'[102]Upah&amp;Bhn '!$M$25</definedName>
    <definedName name="M_050">[103]Upah!$M$26</definedName>
    <definedName name="M_061">'[102]Upah&amp;Bhn '!$M$28</definedName>
    <definedName name="M_065">'[102]Upah&amp;Bhn '!$M$29</definedName>
    <definedName name="M_070">[103]Upah!$M$29</definedName>
    <definedName name="M_080">[103]Upah!$M$30</definedName>
    <definedName name="M_081">[103]Upah!$M$31</definedName>
    <definedName name="M_090">[103]Upah!$M$32</definedName>
    <definedName name="M_091">[103]Upah!$M$33</definedName>
    <definedName name="M_100">[103]Upah!$M$34</definedName>
    <definedName name="M_161">[103]Upah!$M$35</definedName>
    <definedName name="M_162">[103]Upah!$M$36</definedName>
    <definedName name="M_163">[103]Upah!$M$37</definedName>
    <definedName name="M_164">[103]Upah!$M$38</definedName>
    <definedName name="M_165">[103]Upah!$M$42</definedName>
    <definedName name="M_166">[103]Upah!$M$43</definedName>
    <definedName name="M_167">[103]Upah!$M$44</definedName>
    <definedName name="M_170">'[102]Upah&amp;Bhn '!$M$45</definedName>
    <definedName name="M_180">[103]Upah!$M$47</definedName>
    <definedName name="M_181">[103]Upah!$M$48</definedName>
    <definedName name="MANDOR33">[36]URAIAN!$J$1219</definedName>
    <definedName name="MANDOR521">[36]URAIAN!$J$2028</definedName>
    <definedName name="MANDOR753">[36]URAIAN!$J$3812</definedName>
    <definedName name="MATERIAL">'[11]Basic Price'!$A$43:$G$175</definedName>
    <definedName name="matim">[25]DHSD!$G$22</definedName>
    <definedName name="mdr">'[53]SAT-DAS'!$I$13</definedName>
    <definedName name="Minyak_Cat">[40]Harga!$D$73</definedName>
    <definedName name="mmc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17A">'[11]Basic Price'!$F$83</definedName>
    <definedName name="MMM35A">'[11]Basic Price'!$F$128</definedName>
    <definedName name="MOTORGRADER33">[36]URAIAN!$J$1173</definedName>
    <definedName name="MOTORGRADER511">[36]URAIAN!$J$1681</definedName>
    <definedName name="MOTORGRADER512">[36]URAIAN!$J$1826</definedName>
    <definedName name="MOTORGRADER521">[36]URAIAN!$J$1981</definedName>
    <definedName name="MP">'[104]har-sat'!$K$3</definedName>
    <definedName name="MR_12">'[102]Upah&amp;Bhn '!$M$11</definedName>
    <definedName name="mR_42">[103]Upah!$M$25</definedName>
    <definedName name="MT">'[53]SAT-DAS'!$I$31</definedName>
    <definedName name="N_12">'[36]Analisa Harga'!$K$99</definedName>
    <definedName name="N_22">'[36]Analisa Harga'!$K$212</definedName>
    <definedName name="N_321">'[36]Analisa Harga'!$K$453</definedName>
    <definedName name="N_33">'[36]Analisa Harga'!$K$574</definedName>
    <definedName name="N_34">'[36]Analisa Harga'!$K$637</definedName>
    <definedName name="N_511">'[36]Analisa Harga'!$K$700</definedName>
    <definedName name="N_74">'[36]Analisa Harga'!$K$1502</definedName>
    <definedName name="nb">'[70]SAT-DAS'!$J$33</definedName>
    <definedName name="NEVER">[51]Analis!$E$594</definedName>
    <definedName name="n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k">'[12]har-sat'!$H$48</definedName>
    <definedName name="nst">[64]TAB!$G$63</definedName>
    <definedName name="OMC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hidden="1">#REF!</definedName>
    <definedName name="P">'[36]Daftar Harga'!$E$20</definedName>
    <definedName name="PAKET">'[62]2'!$L$841:$W$902</definedName>
    <definedName name="Paku_Kayu">[40]Harga!$D$74</definedName>
    <definedName name="Paku_Seng">[40]Harga!$D$75</definedName>
    <definedName name="Paku_Ulir">[40]Harga!$D$76</definedName>
    <definedName name="Paku_Ulir_Primadeck">[40]Harga!$D$77</definedName>
    <definedName name="pakutri">'[12]har-sat'!$H$16</definedName>
    <definedName name="PAN">#REF!</definedName>
    <definedName name="PANJ">#REF!</definedName>
    <definedName name="Papan_Listplank">[40]Harga!$D$78</definedName>
    <definedName name="Papan_Raider">[40]Harga!$D$79</definedName>
    <definedName name="papankam">'[12]har-sat'!$H$24</definedName>
    <definedName name="papanmer">'[12]har-sat'!$H$27</definedName>
    <definedName name="pas">[45]Sheet1!$G$56</definedName>
    <definedName name="Pas.Batu.Mekanik">'[46]Analisa '!$A$801:$G$864</definedName>
    <definedName name="pasanganbatu">[84]analisa!$I$801</definedName>
    <definedName name="Pasirbeton">[38]harga!$D$21</definedName>
    <definedName name="Pasirpas">'[57]Upah Modifikasi'!$E$26</definedName>
    <definedName name="Pasirpasang">[52]UPAH!$D$34</definedName>
    <definedName name="pasiru">[48]ANALISA!$K$14</definedName>
    <definedName name="pasr.1">[31]Progress!$C$21</definedName>
    <definedName name="paving">'[12]har-sat'!$H$38</definedName>
    <definedName name="Paving_Block">[40]Harga!$D$82</definedName>
    <definedName name="pbat">'[58]DU&amp;B'!$F$8</definedName>
    <definedName name="pbeton">'[12]har-sat'!$H$9</definedName>
    <definedName name="pc">#REF!</definedName>
    <definedName name="PEK">#REF!</definedName>
    <definedName name="PEKERJA33">[36]URAIAN!$J$1218</definedName>
    <definedName name="PEKERJA521">[36]URAIAN!$J$2027</definedName>
    <definedName name="PEKERJA753">[36]URAIAN!$J$3814</definedName>
    <definedName name="Pelamur_Tembok">[40]Harga!$D$41</definedName>
    <definedName name="Pelor">#REF!</definedName>
    <definedName name="Pemancangan">[26]NP!$L$183:$V$243</definedName>
    <definedName name="Pembongkaran">[105]NP!$L$841:$V$901</definedName>
    <definedName name="PEN">'[62]2'!$A$1508:$J$1570</definedName>
    <definedName name="Penjaga_Malam_Satpam">[40]Harga!$D$17</definedName>
    <definedName name="pg">[100]DUB!$F$9</definedName>
    <definedName name="pgal">'[58]DU&amp;B'!$F$9</definedName>
    <definedName name="pipagorong">[84]analisa!$I$655</definedName>
    <definedName name="Pipasparing">[43]UPAH!$D$108</definedName>
    <definedName name="PJ">#REF!</definedName>
    <definedName name="Pk">'[53]SAT-DAS'!$I$15</definedName>
    <definedName name="pkj">[25]DHSD!$G$11</definedName>
    <definedName name="Pku">'[106]SAT-DAS'!$I$39</definedName>
    <definedName name="Plat">[50]Analis!$I$108</definedName>
    <definedName name="Platkuda2">[43]UPAH!$D$109</definedName>
    <definedName name="plywood4">'[12]har-sat'!$H$31</definedName>
    <definedName name="plywood9">'[12]har-sat'!$H$30</definedName>
    <definedName name="PoerP1">[99]Analisa!$I$45</definedName>
    <definedName name="pomc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nd.bt.kl">[60]Progress!$C$23</definedName>
    <definedName name="Pond.Klas.A">'[46]Analisa '!$A$340:$G$404</definedName>
    <definedName name="Pond.Klas.B">'[46]Analisa '!$A$405:$G$470</definedName>
    <definedName name="Ponton">[90]harga!$D$79</definedName>
    <definedName name="pop">[64]DH!$G$12</definedName>
    <definedName name="ppasang">'[12]har-sat'!$H$10</definedName>
    <definedName name="_xlnm.Print_Area" localSheetId="1">RAB!$A$1:$G$308</definedName>
    <definedName name="_xlnm.Print_Area" localSheetId="3">'RAB POOL'!$A$1:$G$141</definedName>
    <definedName name="_xlnm.Print_Area" localSheetId="0">REKAP!$A$1:$F$29</definedName>
    <definedName name="_xlnm.Print_Area" localSheetId="2">'REKAP  POOL'!$A$1:$F$19</definedName>
    <definedName name="_xlnm.Print_Area">#REF!</definedName>
    <definedName name="_xlnm.Print_Titles" localSheetId="1">RAB!$1:$7</definedName>
    <definedName name="_xlnm.Print_Titles" localSheetId="3">'RAB POOL'!$1:$7</definedName>
    <definedName name="_xlnm.Print_Titles">#REF!</definedName>
    <definedName name="Proyek___Bagpro">[27]KWANTITAS!$B$4</definedName>
    <definedName name="Ps">'[53]SAT-DAS'!$I$24</definedName>
    <definedName name="psr">[107]DHSD!$G$16</definedName>
    <definedName name="purug">'[12]har-sat'!$H$11</definedName>
    <definedName name="QQ">'[108]2'!$A$720:$J$840</definedName>
    <definedName name="QRY.3" hidden="1">'[109]Agregat Halus &amp; Kasar'!$I$12:$I$20</definedName>
    <definedName name="rabmck">[110]lab!$Z$162</definedName>
    <definedName name="Rabung_Genteng_Multi_Colour">[40]Harga!$D$83</definedName>
    <definedName name="Rabung_Seng_BJLS_0_35">[40]Harga!$D$84</definedName>
    <definedName name="Rambuncis">#REF!</definedName>
    <definedName name="RANG">#REF!</definedName>
    <definedName name="RANGE">#REF!</definedName>
    <definedName name="rbgb">'[74]SAT-DAS'!$J$46</definedName>
    <definedName name="RCArea" hidden="1">#REF!</definedName>
    <definedName name="RCC">#REF!</definedName>
    <definedName name="RDD">#REF!</definedName>
    <definedName name="REE">#REF!</definedName>
    <definedName name="reewr">[111]Harsat!$E$86</definedName>
    <definedName name="REKAP">#REF!</definedName>
    <definedName name="Rekap_analisa">#REF!</definedName>
    <definedName name="ringbalk1520">[43]ANALISA!$H$560</definedName>
    <definedName name="rkp">'[112]Rekap Sal'!$D$2:$M$963</definedName>
    <definedName name="Rol_Cat">[40]Harga!$D$85</definedName>
    <definedName name="rtre">'[87]SAT-DAS'!$J$22</definedName>
    <definedName name="s">'[113]anlsa alat'!$AW$19</definedName>
    <definedName name="S_156">#REF!</definedName>
    <definedName name="S_20">#REF!</definedName>
    <definedName name="SA">#REF!</definedName>
    <definedName name="SA_2">#REF!</definedName>
    <definedName name="SA_3">#REF!</definedName>
    <definedName name="Saklar2">[43]UPAH!$D$113</definedName>
    <definedName name="Saklar3">[43]UPAH!$D$114</definedName>
    <definedName name="SAT">[69]HS!$M$4</definedName>
    <definedName name="SAT_BVTT">#REF!</definedName>
    <definedName name="SAT_JA1">#REF!</definedName>
    <definedName name="SAT_JA2">#REF!</definedName>
    <definedName name="SAT_JB1">#REF!</definedName>
    <definedName name="SAT_JD1">#REF!</definedName>
    <definedName name="SAT_JD1_">#REF!</definedName>
    <definedName name="SAT_JK1">#REF!</definedName>
    <definedName name="SAT_JK2">#REF!</definedName>
    <definedName name="SAT_JT">#REF!</definedName>
    <definedName name="SAT_JT2">#REF!</definedName>
    <definedName name="SAT_JTT">#REF!</definedName>
    <definedName name="SAT_JTU">#REF!</definedName>
    <definedName name="SAT_PB">#REF!</definedName>
    <definedName name="SAT_PBTM">#REF!</definedName>
    <definedName name="SAT_PD">#REF!</definedName>
    <definedName name="SAT_PD1">#REF!</definedName>
    <definedName name="SAT_PD1_">#REF!</definedName>
    <definedName name="SAT_PD2">#REF!</definedName>
    <definedName name="SAT_PDF">#REF!</definedName>
    <definedName name="SAT_PE">#REF!</definedName>
    <definedName name="SAT_PG1">#REF!</definedName>
    <definedName name="SAT_PG2">#REF!</definedName>
    <definedName name="SAT_PG3">#REF!</definedName>
    <definedName name="SAT_PG4">#REF!</definedName>
    <definedName name="SAT_PG5">#REF!</definedName>
    <definedName name="SAT_PGR">#REF!</definedName>
    <definedName name="SAT_PJK">#REF!</definedName>
    <definedName name="SAT_PJKU">#REF!</definedName>
    <definedName name="SAT_PJM2">#REF!</definedName>
    <definedName name="SAT_PJTM1">#REF!</definedName>
    <definedName name="SAT_PK2">#REF!</definedName>
    <definedName name="SAT_PKTT">#REF!</definedName>
    <definedName name="SAT_PTG">#REF!</definedName>
    <definedName name="SAT_PTT">#REF!</definedName>
    <definedName name="SB">#REF!</definedName>
    <definedName name="SB_2">#REF!</definedName>
    <definedName name="SB_3">#REF!</definedName>
    <definedName name="sbd">[64]TAB!$I$32</definedName>
    <definedName name="scr">[64]TAB!$I$27</definedName>
    <definedName name="scren">[64]TAB!$I$47</definedName>
    <definedName name="sdh">[64]TAB!$I$74</definedName>
    <definedName name="sdt">[64]TAB!$I$23</definedName>
    <definedName name="Semen_Andalas___40_Kg">[40]Harga!$D$87</definedName>
    <definedName name="Semen_Putih">[40]Harga!$D$88</definedName>
    <definedName name="Semenpc40">[52]UPAH!$D$36</definedName>
    <definedName name="seng">'[12]har-sat'!$H$29</definedName>
    <definedName name="Seng_BJLS_0_20">[40]Harga!$D$44</definedName>
    <definedName name="Seng_BJLS_0_30">[40]Harga!$D$45</definedName>
    <definedName name="Seng_Genteng_Multiroof_Emeral">[40]Harga!$D$43</definedName>
    <definedName name="sengplat">[90]harga!$D$29</definedName>
    <definedName name="SERVER">[114]Cashflow!$A$1:$P$99</definedName>
    <definedName name="SERVER2">[114]Cashflow!$A$1:$P$99</definedName>
    <definedName name="seumantok">[90]harga!$D$42</definedName>
    <definedName name="sex">[64]TAB!$I$11</definedName>
    <definedName name="sgen">[64]TAB!$I$67</definedName>
    <definedName name="sgr">[64]TAB!$I$55</definedName>
    <definedName name="Singkil">#REF!</definedName>
    <definedName name="skk">[64]TAB!$I$43</definedName>
    <definedName name="Slimar">#REF!</definedName>
    <definedName name="SloofS1">[50]Analis!$I$56</definedName>
    <definedName name="SloofT1">[99]Analisa!$I$55</definedName>
    <definedName name="SloofT2">[99]Analisa!$I$72</definedName>
    <definedName name="SLT">[64]TAB!$I$71</definedName>
    <definedName name="Sm">'[53]SAT-DAS'!$I$32</definedName>
    <definedName name="smc">[64]TAB!$I$51</definedName>
    <definedName name="smn">[25]DHSD!$G$25</definedName>
    <definedName name="SNI.T_01_1991_03.2_9">[40]Analisa!$L$29</definedName>
    <definedName name="SNI.T_02_1991_03.1_13">[40]Analisa!$L$65</definedName>
    <definedName name="SNI.T_02_1991_03.1_6">[40]Analisa!$L$55</definedName>
    <definedName name="SNI.T_03_1991_03.1_12">[40]Analisa!$L$97</definedName>
    <definedName name="SNI.T_03_1991_03.1_13">[40]Analisa!$L$108</definedName>
    <definedName name="SNI.T_03_1991_03.1_14">[40]Analisa!$L$119</definedName>
    <definedName name="SNI.T_03_1991_03.1_15">[40]Analisa!$L$130</definedName>
    <definedName name="SpecialPrice" hidden="1">#REF!</definedName>
    <definedName name="split">'[12]har-sat'!$H$7</definedName>
    <definedName name="SS">#REF!</definedName>
    <definedName name="SS_2">#REF!</definedName>
    <definedName name="SS_3">#REF!</definedName>
    <definedName name="sss">[115]Analis!$E$477</definedName>
    <definedName name="sst">[64]TAB!$I$63</definedName>
    <definedName name="ST">#REF!</definedName>
    <definedName name="ST_2">#REF!</definedName>
    <definedName name="ST_3">#REF!</definedName>
    <definedName name="STELLA">#REF!</definedName>
    <definedName name="STONECRUSHER">'[75]An. Alat'!$A$533:$J$533</definedName>
    <definedName name="Stp">'[96]SAT-DAS'!$I$77</definedName>
    <definedName name="Strauss">[99]Analisa!$I$37</definedName>
    <definedName name="subkontrak">'[113]anlsa alat'!$AW$11</definedName>
    <definedName name="Supir">[40]Harga!$D$18</definedName>
    <definedName name="Surveyor">'[57]Upah Modifikasi'!$E$15</definedName>
    <definedName name="svr">[64]TAB!$I$39</definedName>
    <definedName name="swp">[64]TAB!$I$59</definedName>
    <definedName name="T" localSheetId="5">'[36]Daftar Harga'!$E$18</definedName>
    <definedName name="T" localSheetId="6">'[36]Daftar Harga'!$E$18</definedName>
    <definedName name="T" localSheetId="4">'[36]Daftar Harga'!$E$18</definedName>
    <definedName name="T">#REF!</definedName>
    <definedName name="T_2">#REF!</definedName>
    <definedName name="T_23B">#REF!</definedName>
    <definedName name="T_3">#REF!</definedName>
    <definedName name="T_K">#REF!</definedName>
    <definedName name="TABEL_K">#REF!</definedName>
    <definedName name="TAKADA">#REF!</definedName>
    <definedName name="TAKADA2">#REF!</definedName>
    <definedName name="Tanah_Timbun">[40]Harga!$D$90</definedName>
    <definedName name="Tandem">[90]harga!$D$80</definedName>
    <definedName name="Tarikanjendela">[43]UPAH!$D$127</definedName>
    <definedName name="tarol">[25]DHSD!$G$43</definedName>
    <definedName name="TB_909">#REF!</definedName>
    <definedName name="TB_940">#REF!</definedName>
    <definedName name="TB_960">#REF!</definedName>
    <definedName name="TB_965">#REF!</definedName>
    <definedName name="tbat">'[58]DU&amp;B'!$F$13</definedName>
    <definedName name="tbl_ProdInfo" hidden="1">#REF!</definedName>
    <definedName name="TEORI">[116]Kantor!$Z$174</definedName>
    <definedName name="tg">'[117]SAT-DAS'!$J$63</definedName>
    <definedName name="Thinner">'[96]SAT-DAS'!$I$55</definedName>
    <definedName name="Timb.Biasa">'[46]Analisa '!$A$276:$G$339</definedName>
    <definedName name="TIPE">#REF!</definedName>
    <definedName name="tire">[32]Harsat!$E$86</definedName>
    <definedName name="tirol">[25]DHSD!$G$44</definedName>
    <definedName name="tkg">[25]DHSD!$G$12</definedName>
    <definedName name="tnh">'[96]SAT-DAS'!$I$30</definedName>
    <definedName name="TOT_INI">#REF!</definedName>
    <definedName name="total">[66]Rkp!$D$134,[66]Rkp!#REF!,[66]Rkp!$D$58</definedName>
    <definedName name="Tp">'[106]SAT-DAS'!$I$103</definedName>
    <definedName name="TRACKLOADER">'[75]An. Alat'!$A$297:$J$355</definedName>
    <definedName name="tret">'[70]SAT-DAS'!$J$68</definedName>
    <definedName name="Triplek_T___4_mm">[40]Harga!$D$91</definedName>
    <definedName name="TS_308">#REF!</definedName>
    <definedName name="tuk.batu">'[12]har-sat'!$H$86</definedName>
    <definedName name="tuk.besi">'[12]har-sat'!$H$82</definedName>
    <definedName name="tuk.cat">'[12]har-sat'!$H$87</definedName>
    <definedName name="tuk.gali">'[12]har-sat'!$H$79</definedName>
    <definedName name="tuk.kayu">'[12]har-sat'!$H$84</definedName>
    <definedName name="tuk.kusen">'[12]har-sat'!$H$85</definedName>
    <definedName name="TUKANG753">[36]URAIAN!$J$3813</definedName>
    <definedName name="TX_10">#REF!</definedName>
    <definedName name="TX_101">#REF!</definedName>
    <definedName name="TX_1B">#REF!</definedName>
    <definedName name="TX_403">#REF!</definedName>
    <definedName name="U.Kepala_Tukang_Kayu">'[47]HSBU ANA'!$D$310</definedName>
    <definedName name="U.M_a_n_d_o_r">'[47]HSBU ANA'!$D$321</definedName>
    <definedName name="U.P_e_k_e_r_j_a">'[47]HSBU ANA'!$D$306</definedName>
    <definedName name="U.Tukang_Kayu">'[47]HSBU ANA'!$D$309</definedName>
    <definedName name="U_C_436">#REF!</definedName>
    <definedName name="U_CE_7">#REF!</definedName>
    <definedName name="U_L_511">#REF!</definedName>
    <definedName name="U_L_851">#REF!</definedName>
    <definedName name="U_S_156">#REF!</definedName>
    <definedName name="U_S_20">#REF!</definedName>
    <definedName name="U_STELLA">#REF!</definedName>
    <definedName name="U_T_23B">#REF!</definedName>
    <definedName name="U_TB_909">#REF!</definedName>
    <definedName name="U_TB_940">#REF!</definedName>
    <definedName name="U_TB_960">#REF!</definedName>
    <definedName name="U_TB_965">#REF!</definedName>
    <definedName name="U_TS_308">#REF!</definedName>
    <definedName name="U_TX_10">#REF!</definedName>
    <definedName name="U_TX_101">#REF!</definedName>
    <definedName name="U_TX_1B">#REF!</definedName>
    <definedName name="U_TX_403">#REF!</definedName>
    <definedName name="UDATA">[69]HS!$M$3</definedName>
    <definedName name="Upah">#REF!</definedName>
    <definedName name="URAIAN">'[78]3-DIV2'!$A$1:$J$1101</definedName>
    <definedName name="URAIAN21">'[78]3-DIV2'!$A$1:$J$121</definedName>
    <definedName name="URAIAN22E">'[78]3-DIV2'!$A$122:$J$123</definedName>
    <definedName name="URAIAN231">'[78]3-DIV2'!$A$124:$J$243</definedName>
    <definedName name="URAIAN232">'[78]3-DIV2'!$A$244:$J$363</definedName>
    <definedName name="URAIAN233">'[78]3-DIV2'!$A$364:$J$483</definedName>
    <definedName name="Uraian234">'[78]3-DIV2'!$A$484:$J$603</definedName>
    <definedName name="Uraian235">'[78]3-DIV2'!$A$604:$J$854</definedName>
    <definedName name="Uraian236">'[78]3-DIV2'!$A$855:$J$973</definedName>
    <definedName name="URAIAN241">'[78]3-DIV2'!$A$974:$J$978</definedName>
    <definedName name="URAIAN242">'[78]3-DIV2'!$A$979:$J$1039</definedName>
    <definedName name="URAIAN243">'[78]3-DIV2'!$A$1040:$J$1101</definedName>
    <definedName name="Uraian311">'[79]3-DIV3'!$A$1:$J$120</definedName>
    <definedName name="Uraian312">'[79]3-DIV3'!$A$121:$J$240</definedName>
    <definedName name="Uraian313">'[79]3-DIV3'!$A$255:$J$374</definedName>
    <definedName name="Uraian314">'[79]3-DIV3'!$A$375:$J$494</definedName>
    <definedName name="Uraian315">'[79]3-DIV3'!$A$1766:$J$1885</definedName>
    <definedName name="Uraian319">'[79]3-DIV3'!$A$1886:$J$1946</definedName>
    <definedName name="Uraian322">'[79]3-DIV3'!$A$1947:$J$2127</definedName>
    <definedName name="Uraian323">'[79]3-DIV3'!$A$2128:$J$2306</definedName>
    <definedName name="Uraian324">'[79]3-DIV3'!$A$2307:$J$2428</definedName>
    <definedName name="Uraian331">'[79]3-DIV3'!$A$2429:$J$2548</definedName>
    <definedName name="Uraian346">'[79]3-DIV3'!$A$2549:$J$2609</definedName>
    <definedName name="URAIAN421">'[80]3-DIV4'!$A$1:$J$179</definedName>
    <definedName name="URAIAN422">'[80]3-DIV4'!$A$180:$J$358</definedName>
    <definedName name="URAIAN423">'[80]3-DIV4'!$A$479:$J$717</definedName>
    <definedName name="URAIAN424">'[80]3-DIV4'!$A$359:$J$478</definedName>
    <definedName name="URAIAN425">'[80]3-DIV4'!$A$718:$J$896</definedName>
    <definedName name="URAIAN426">'[80]3-DIV4'!$A$897:$J$1016</definedName>
    <definedName name="URAIAN427">'[80]3-DIV4'!$A$1017:$J$1136</definedName>
    <definedName name="URAIAN511">'[81]3-DIV5'!$A$1:$J$179</definedName>
    <definedName name="URAIAN512">'[81]3-DIV5'!$A$180:$J$358</definedName>
    <definedName name="URAIAN521">'[81]3-DIV5'!$A$359:$J$537</definedName>
    <definedName name="URAIAN522">'[81]3-DIV5'!$A$3075:$J$3253</definedName>
    <definedName name="URAIAN541">'[81]3-DIV5'!$A$3254:$J$3373</definedName>
    <definedName name="URAIAN542">'[81]3-DIV5'!$A$3374:$J$3612</definedName>
    <definedName name="uuuu">'[113]anlsa alat'!$BP$187</definedName>
    <definedName name="vczv">'[70]SAT-DAS'!$J$53</definedName>
    <definedName name="VIBROROLLER">'[75]An. Alat'!$A$415:$J$473</definedName>
    <definedName name="VIBROROLLER33">[36]URAIAN!$J$1184</definedName>
    <definedName name="VIBROROLLER511">[36]URAIAN!$J$1692</definedName>
    <definedName name="VIBROROLLER512">[36]URAIAN!$J$1836</definedName>
    <definedName name="VIBROROLLER521">[36]URAIAN!$J$1992</definedName>
    <definedName name="vinilex">'[12]har-sat'!$H$36</definedName>
    <definedName name="virol">[18]DHSD!$G$45</definedName>
    <definedName name="VR">'[53]SAT-DAS'!$I$73</definedName>
    <definedName name="W" localSheetId="5">[118]analisa!$I$947</definedName>
    <definedName name="W" localSheetId="6">[118]analisa!$I$947</definedName>
    <definedName name="W" localSheetId="4">[118]analisa!$I$947</definedName>
    <definedName name="W">#REF!</definedName>
    <definedName name="W_2">#REF!</definedName>
    <definedName name="W_3">#REF!</definedName>
    <definedName name="W_K">#REF!</definedName>
    <definedName name="waterproofing">'[12]har-sat'!$H$40</definedName>
    <definedName name="WATERPUMP">'[75]An. Alat'!$A$534:$J$592</definedName>
    <definedName name="WATERTANK33">[36]URAIAN!$J$1204</definedName>
    <definedName name="WATERTANK511">[36]URAIAN!$J$1714</definedName>
    <definedName name="WATERTANK512">[36]URAIAN!$J$1859</definedName>
    <definedName name="WATERTANK521">[36]URAIAN!$J$2002</definedName>
    <definedName name="WATERTANKER">'[75]An. Alat'!$A$593:$J$651</definedName>
    <definedName name="watkr">[25]DHSD!$G$47</definedName>
    <definedName name="WC">'[119]Gedung Kantor'!$Z$215</definedName>
    <definedName name="wf" localSheetId="5">'[12]har-sat'!$H$49</definedName>
    <definedName name="wf" localSheetId="6">'[12]har-sat'!$H$49</definedName>
    <definedName name="wf" localSheetId="4">'[12]har-sat'!$H$49</definedName>
    <definedName name="WF">#REF!</definedName>
    <definedName name="WHEELLOADER">'[75]An. Alat'!$A$356:$J$414</definedName>
    <definedName name="WHELLLOADER511">[36]URAIAN!$J$1641</definedName>
    <definedName name="WHELLLOADER512">[36]URAIAN!$J$1787</definedName>
    <definedName name="WHELLLOADER521">[36]URAIAN!$J$1942</definedName>
    <definedName name="Wiremesh">'[57]Upah Modifikasi'!$E$22</definedName>
    <definedName name="WO">#REF!</definedName>
    <definedName name="wrn.AAA." localSheetId="5" hidden="1">{#N/A,#N/A,FALSE,"REK";#N/A,#N/A,FALSE,"Bq-ARS"}</definedName>
    <definedName name="wrn.AAA." localSheetId="6" hidden="1">{#N/A,#N/A,FALSE,"REK";#N/A,#N/A,FALSE,"Bq-ARS"}</definedName>
    <definedName name="wrn.AAA." hidden="1">{#N/A,#N/A,FALSE,"REK";#N/A,#N/A,FALSE,"Bq-ARS"}</definedName>
    <definedName name="wrn.chi._.tiÆt." localSheetId="5" hidden="1">{#N/A,#N/A,FALSE,"Chi tiÆt"}</definedName>
    <definedName name="wrn.chi._.tiÆt." localSheetId="6" hidden="1">{#N/A,#N/A,FALSE,"Chi tiÆt"}</definedName>
    <definedName name="wrn.chi._.tiÆt." hidden="1">{#N/A,#N/A,FALSE,"Chi tiÆt"}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 localSheetId="5" hidden="1">{#N/A,#N/A,FALSE,"REK-S-TPL";#N/A,#N/A,FALSE,"REK-TPML";#N/A,#N/A,FALSE,"RAB-TEMPEL"}</definedName>
    <definedName name="wrn.rtpl." localSheetId="6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y." localSheetId="5" hidden="1">{#N/A,#N/A,FALSE,"REK";#N/A,#N/A,FALSE,"rab"}</definedName>
    <definedName name="wrn.ry." localSheetId="6" hidden="1">{#N/A,#N/A,FALSE,"REK";#N/A,#N/A,FALSE,"rab"}</definedName>
    <definedName name="wrn.ry." hidden="1">{#N/A,#N/A,FALSE,"REK";#N/A,#N/A,FALSE,"rab"}</definedName>
    <definedName name="WT">'[61]SAT-DAS'!$I$76</definedName>
    <definedName name="WWW">'[39]anlsa alat'!$AW$9</definedName>
    <definedName name="WWWWW">[120]B.T!$C$9</definedName>
    <definedName name="XAF9a">[20]BOW!$B$150</definedName>
    <definedName name="XAF9b">[20]BOW!$B$166</definedName>
    <definedName name="XAF9c">[20]BOW!$B$182</definedName>
    <definedName name="xk010a">[20]Analisa!$J$1104</definedName>
    <definedName name="xk020a">[20]Analisa!$K$7085</definedName>
    <definedName name="XK224a">[20]Analisa!$K$1233</definedName>
    <definedName name="XK514.a">[20]Analisa!$K$540</definedName>
    <definedName name="xk514a">[20]Analisa!$J$653</definedName>
    <definedName name="XK612a">[20]Analisa!$K$2234</definedName>
    <definedName name="xk621a">[20]Analisa!$E$5949</definedName>
    <definedName name="Xkg.2">[20]Analisa!$B$5672</definedName>
    <definedName name="xx">[20]Analisa!$G$2140</definedName>
    <definedName name="yhh">'[117]SAT-DAS'!$J$19</definedName>
    <definedName name="yuy">'[70]SAT-DAS'!$J$65</definedName>
    <definedName name="yyy">'[113]anlsa alat'!$AW$22</definedName>
    <definedName name="Z_3F9B5724_02A1_494E_8A05_6302C3C28A11_.wvu.PrintArea" hidden="1">#REF!</definedName>
    <definedName name="Zekring1">[43]UPAH!$D$26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2" l="1"/>
  <c r="J80" i="2"/>
  <c r="J79" i="2"/>
  <c r="J78" i="2"/>
  <c r="I79" i="2"/>
  <c r="I78" i="2"/>
  <c r="E22" i="4"/>
  <c r="E24" i="4"/>
  <c r="E26" i="4"/>
  <c r="E25" i="4"/>
  <c r="E23" i="4"/>
  <c r="E21" i="4"/>
  <c r="E27" i="4"/>
  <c r="G9" i="2"/>
  <c r="E10" i="2"/>
  <c r="D9" i="6"/>
  <c r="F9" i="6"/>
  <c r="D10" i="6"/>
  <c r="F10" i="6"/>
  <c r="F11" i="6"/>
  <c r="F12" i="6"/>
  <c r="F13" i="6"/>
  <c r="F10" i="2"/>
  <c r="G10" i="2"/>
  <c r="G11" i="2"/>
  <c r="G12" i="2"/>
  <c r="G13" i="2"/>
  <c r="E14" i="2"/>
  <c r="D218" i="6"/>
  <c r="E52" i="6"/>
  <c r="E64" i="6"/>
  <c r="E218" i="6"/>
  <c r="F218" i="6"/>
  <c r="D219" i="6"/>
  <c r="E219" i="6"/>
  <c r="F219" i="6"/>
  <c r="F220" i="6"/>
  <c r="D221" i="6"/>
  <c r="E221" i="6"/>
  <c r="F221" i="6"/>
  <c r="F222" i="6"/>
  <c r="F223" i="6"/>
  <c r="F14" i="2"/>
  <c r="G14" i="2"/>
  <c r="G15" i="2"/>
  <c r="G16" i="2"/>
  <c r="G17" i="2"/>
  <c r="G18" i="2"/>
  <c r="G19" i="2"/>
  <c r="G20" i="2"/>
  <c r="F7" i="1"/>
  <c r="E22" i="2"/>
  <c r="G22" i="2"/>
  <c r="E23" i="2"/>
  <c r="G23" i="2"/>
  <c r="E24" i="2"/>
  <c r="G24" i="2"/>
  <c r="E25" i="2"/>
  <c r="F90" i="6"/>
  <c r="F91" i="6"/>
  <c r="F92" i="6"/>
  <c r="F25" i="2"/>
  <c r="G25" i="2"/>
  <c r="F26" i="2"/>
  <c r="G26" i="2"/>
  <c r="E27" i="2"/>
  <c r="F85" i="6"/>
  <c r="F86" i="6"/>
  <c r="F87" i="6"/>
  <c r="F88" i="6"/>
  <c r="F27" i="2"/>
  <c r="G27" i="2"/>
  <c r="G28" i="2"/>
  <c r="G29" i="2"/>
  <c r="E30" i="2"/>
  <c r="G30" i="2"/>
  <c r="G31" i="2"/>
  <c r="G32" i="2"/>
  <c r="G33" i="2"/>
  <c r="F8" i="1"/>
  <c r="E36" i="2"/>
  <c r="D33" i="6"/>
  <c r="D38" i="6"/>
  <c r="E38" i="6"/>
  <c r="F38" i="6"/>
  <c r="E39" i="6"/>
  <c r="F39" i="6"/>
  <c r="F40" i="6"/>
  <c r="F41" i="6"/>
  <c r="F42" i="6"/>
  <c r="E10" i="7"/>
  <c r="E28" i="7"/>
  <c r="E34" i="7"/>
  <c r="E40" i="7"/>
  <c r="E46" i="7"/>
  <c r="E58" i="7"/>
  <c r="E171" i="7"/>
  <c r="F171" i="7"/>
  <c r="D172" i="7"/>
  <c r="D80" i="6"/>
  <c r="E80" i="6"/>
  <c r="F80" i="6"/>
  <c r="D81" i="6"/>
  <c r="E76" i="6"/>
  <c r="E81" i="6"/>
  <c r="F81" i="6"/>
  <c r="E72" i="6"/>
  <c r="E82" i="6"/>
  <c r="F82" i="6"/>
  <c r="F83" i="6"/>
  <c r="E11" i="7"/>
  <c r="E29" i="7"/>
  <c r="E35" i="7"/>
  <c r="E41" i="7"/>
  <c r="E47" i="7"/>
  <c r="E59" i="7"/>
  <c r="E65" i="7"/>
  <c r="E71" i="7"/>
  <c r="E77" i="7"/>
  <c r="E172" i="7"/>
  <c r="F172" i="7"/>
  <c r="D173" i="7"/>
  <c r="D51" i="6"/>
  <c r="E51" i="6"/>
  <c r="F51" i="6"/>
  <c r="D52" i="6"/>
  <c r="F52" i="6"/>
  <c r="E53" i="6"/>
  <c r="F53" i="6"/>
  <c r="F54" i="6"/>
  <c r="F55" i="6"/>
  <c r="E13" i="7"/>
  <c r="E31" i="7"/>
  <c r="E37" i="7"/>
  <c r="E43" i="7"/>
  <c r="E49" i="7"/>
  <c r="E61" i="7"/>
  <c r="E67" i="7"/>
  <c r="E73" i="7"/>
  <c r="E79" i="7"/>
  <c r="E173" i="7"/>
  <c r="F173" i="7"/>
  <c r="F174" i="7"/>
  <c r="F36" i="2"/>
  <c r="G36" i="2"/>
  <c r="E37" i="2"/>
  <c r="F37" i="2"/>
  <c r="G37" i="2"/>
  <c r="E38" i="2"/>
  <c r="E176" i="7"/>
  <c r="F176" i="7"/>
  <c r="D177" i="7"/>
  <c r="E177" i="7"/>
  <c r="F177" i="7"/>
  <c r="D178" i="7"/>
  <c r="E178" i="7"/>
  <c r="F178" i="7"/>
  <c r="F179" i="7"/>
  <c r="F38" i="2"/>
  <c r="G38" i="2"/>
  <c r="E39" i="2"/>
  <c r="E181" i="7"/>
  <c r="F181" i="7"/>
  <c r="D182" i="7"/>
  <c r="E182" i="7"/>
  <c r="F182" i="7"/>
  <c r="D183" i="7"/>
  <c r="E183" i="7"/>
  <c r="F183" i="7"/>
  <c r="D184" i="7"/>
  <c r="E184" i="7"/>
  <c r="F184" i="7"/>
  <c r="F185" i="7"/>
  <c r="F39" i="2"/>
  <c r="G39" i="2"/>
  <c r="E40" i="2"/>
  <c r="F58" i="7"/>
  <c r="D59" i="7"/>
  <c r="F59" i="7"/>
  <c r="D60" i="7"/>
  <c r="E70" i="6"/>
  <c r="F70" i="6"/>
  <c r="F71" i="6"/>
  <c r="F72" i="6"/>
  <c r="F73" i="6"/>
  <c r="E12" i="7"/>
  <c r="E30" i="7"/>
  <c r="E36" i="7"/>
  <c r="E42" i="7"/>
  <c r="E48" i="7"/>
  <c r="E60" i="7"/>
  <c r="F60" i="7"/>
  <c r="D61" i="7"/>
  <c r="F61" i="7"/>
  <c r="F62" i="7"/>
  <c r="F40" i="2"/>
  <c r="G40" i="2"/>
  <c r="E41" i="2"/>
  <c r="E64" i="7"/>
  <c r="E70" i="7"/>
  <c r="F70" i="7"/>
  <c r="D71" i="7"/>
  <c r="F71" i="7"/>
  <c r="D72" i="7"/>
  <c r="E66" i="7"/>
  <c r="E72" i="7"/>
  <c r="F72" i="7"/>
  <c r="D73" i="7"/>
  <c r="F73" i="7"/>
  <c r="F74" i="7"/>
  <c r="F41" i="2"/>
  <c r="G41" i="2"/>
  <c r="E42" i="2"/>
  <c r="E76" i="7"/>
  <c r="F76" i="7"/>
  <c r="D77" i="7"/>
  <c r="F77" i="7"/>
  <c r="D78" i="7"/>
  <c r="E78" i="7"/>
  <c r="F78" i="7"/>
  <c r="D79" i="7"/>
  <c r="F79" i="7"/>
  <c r="F80" i="7"/>
  <c r="F42" i="2"/>
  <c r="G42" i="2"/>
  <c r="E44" i="2"/>
  <c r="F10" i="7"/>
  <c r="D11" i="7"/>
  <c r="F11" i="7"/>
  <c r="D12" i="7"/>
  <c r="F12" i="7"/>
  <c r="D13" i="7"/>
  <c r="F13" i="7"/>
  <c r="F14" i="7"/>
  <c r="F44" i="2"/>
  <c r="G44" i="2"/>
  <c r="E45" i="2"/>
  <c r="F34" i="7"/>
  <c r="D35" i="7"/>
  <c r="F35" i="7"/>
  <c r="D36" i="7"/>
  <c r="F36" i="7"/>
  <c r="D37" i="7"/>
  <c r="F37" i="7"/>
  <c r="F38" i="7"/>
  <c r="F45" i="2"/>
  <c r="G45" i="2"/>
  <c r="E46" i="2"/>
  <c r="F40" i="7"/>
  <c r="D41" i="7"/>
  <c r="F41" i="7"/>
  <c r="D42" i="7"/>
  <c r="F42" i="7"/>
  <c r="D43" i="7"/>
  <c r="F43" i="7"/>
  <c r="F44" i="7"/>
  <c r="F46" i="2"/>
  <c r="G46" i="2"/>
  <c r="E47" i="2"/>
  <c r="F47" i="2"/>
  <c r="G47" i="2"/>
  <c r="E48" i="2"/>
  <c r="F48" i="2"/>
  <c r="G48" i="2"/>
  <c r="E49" i="2"/>
  <c r="E82" i="7"/>
  <c r="F82" i="7"/>
  <c r="D83" i="7"/>
  <c r="E83" i="7"/>
  <c r="F83" i="7"/>
  <c r="D84" i="7"/>
  <c r="E84" i="7"/>
  <c r="F84" i="7"/>
  <c r="D85" i="7"/>
  <c r="E85" i="7"/>
  <c r="F85" i="7"/>
  <c r="F86" i="7"/>
  <c r="F49" i="2"/>
  <c r="G49" i="2"/>
  <c r="E50" i="2"/>
  <c r="D27" i="6"/>
  <c r="F27" i="6"/>
  <c r="E28" i="6"/>
  <c r="F28" i="6"/>
  <c r="F29" i="6"/>
  <c r="F30" i="6"/>
  <c r="F31" i="6"/>
  <c r="E112" i="7"/>
  <c r="F112" i="7"/>
  <c r="D113" i="7"/>
  <c r="E95" i="7"/>
  <c r="E101" i="7"/>
  <c r="E107" i="7"/>
  <c r="E113" i="7"/>
  <c r="F113" i="7"/>
  <c r="D114" i="7"/>
  <c r="E96" i="7"/>
  <c r="E102" i="7"/>
  <c r="E108" i="7"/>
  <c r="E114" i="7"/>
  <c r="F114" i="7"/>
  <c r="D115" i="7"/>
  <c r="D106" i="6"/>
  <c r="E106" i="6"/>
  <c r="F106" i="6"/>
  <c r="D107" i="6"/>
  <c r="E95" i="6"/>
  <c r="E107" i="6"/>
  <c r="F107" i="6"/>
  <c r="F108" i="6"/>
  <c r="F109" i="6"/>
  <c r="F110" i="6"/>
  <c r="E55" i="7"/>
  <c r="E97" i="7"/>
  <c r="E115" i="7"/>
  <c r="F115" i="7"/>
  <c r="F116" i="7"/>
  <c r="F50" i="2"/>
  <c r="G50" i="2"/>
  <c r="E51" i="2"/>
  <c r="E100" i="7"/>
  <c r="E106" i="7"/>
  <c r="E136" i="7"/>
  <c r="E143" i="7"/>
  <c r="E150" i="7"/>
  <c r="F150" i="7"/>
  <c r="D151" i="7"/>
  <c r="E119" i="7"/>
  <c r="E125" i="7"/>
  <c r="E131" i="7"/>
  <c r="E137" i="7"/>
  <c r="E144" i="7"/>
  <c r="E151" i="7"/>
  <c r="F151" i="7"/>
  <c r="D152" i="7"/>
  <c r="E120" i="7"/>
  <c r="E126" i="7"/>
  <c r="E132" i="7"/>
  <c r="E139" i="7"/>
  <c r="E146" i="7"/>
  <c r="E152" i="7"/>
  <c r="F152" i="7"/>
  <c r="D153" i="7"/>
  <c r="E153" i="7"/>
  <c r="F153" i="7"/>
  <c r="D154" i="7"/>
  <c r="E91" i="7"/>
  <c r="E103" i="7"/>
  <c r="E109" i="7"/>
  <c r="E140" i="7"/>
  <c r="E147" i="7"/>
  <c r="E154" i="7"/>
  <c r="F154" i="7"/>
  <c r="F155" i="7"/>
  <c r="F51" i="2"/>
  <c r="G51" i="2"/>
  <c r="E52" i="2"/>
  <c r="F136" i="7"/>
  <c r="D137" i="7"/>
  <c r="F137" i="7"/>
  <c r="D138" i="7"/>
  <c r="E138" i="7"/>
  <c r="F138" i="7"/>
  <c r="D139" i="7"/>
  <c r="F139" i="7"/>
  <c r="D140" i="7"/>
  <c r="F140" i="7"/>
  <c r="F141" i="7"/>
  <c r="F52" i="2"/>
  <c r="G52" i="2"/>
  <c r="E53" i="2"/>
  <c r="F143" i="7"/>
  <c r="D144" i="7"/>
  <c r="F144" i="7"/>
  <c r="D145" i="7"/>
  <c r="E145" i="7"/>
  <c r="F145" i="7"/>
  <c r="D146" i="7"/>
  <c r="F146" i="7"/>
  <c r="D147" i="7"/>
  <c r="F147" i="7"/>
  <c r="F148" i="7"/>
  <c r="F53" i="2"/>
  <c r="G53" i="2"/>
  <c r="E54" i="2"/>
  <c r="E157" i="7"/>
  <c r="E164" i="7"/>
  <c r="F164" i="7"/>
  <c r="D165" i="7"/>
  <c r="E158" i="7"/>
  <c r="E165" i="7"/>
  <c r="F165" i="7"/>
  <c r="D166" i="7"/>
  <c r="E160" i="7"/>
  <c r="E166" i="7"/>
  <c r="F166" i="7"/>
  <c r="D167" i="7"/>
  <c r="E167" i="7"/>
  <c r="F167" i="7"/>
  <c r="D168" i="7"/>
  <c r="E161" i="7"/>
  <c r="E168" i="7"/>
  <c r="F168" i="7"/>
  <c r="F169" i="7"/>
  <c r="F54" i="2"/>
  <c r="G54" i="2"/>
  <c r="E55" i="2"/>
  <c r="D44" i="6"/>
  <c r="E15" i="6"/>
  <c r="E44" i="6"/>
  <c r="F44" i="6"/>
  <c r="D45" i="6"/>
  <c r="E45" i="6"/>
  <c r="F45" i="6"/>
  <c r="E46" i="6"/>
  <c r="F46" i="6"/>
  <c r="E47" i="6"/>
  <c r="F47" i="6"/>
  <c r="F48" i="6"/>
  <c r="F49" i="6"/>
  <c r="F55" i="2"/>
  <c r="G55" i="2"/>
  <c r="G56" i="2"/>
  <c r="G57" i="2"/>
  <c r="E58" i="2"/>
  <c r="F64" i="7"/>
  <c r="D65" i="7"/>
  <c r="F65" i="7"/>
  <c r="D66" i="7"/>
  <c r="F66" i="7"/>
  <c r="D67" i="7"/>
  <c r="F67" i="7"/>
  <c r="F68" i="7"/>
  <c r="F58" i="2"/>
  <c r="G58" i="2"/>
  <c r="E59" i="2"/>
  <c r="F59" i="2"/>
  <c r="G59" i="2"/>
  <c r="E60" i="2"/>
  <c r="E16" i="7"/>
  <c r="F16" i="7"/>
  <c r="D17" i="7"/>
  <c r="E17" i="7"/>
  <c r="F17" i="7"/>
  <c r="D18" i="7"/>
  <c r="E18" i="7"/>
  <c r="F18" i="7"/>
  <c r="D19" i="7"/>
  <c r="E19" i="7"/>
  <c r="F19" i="7"/>
  <c r="F20" i="7"/>
  <c r="F60" i="2"/>
  <c r="G60" i="2"/>
  <c r="E61" i="2"/>
  <c r="F100" i="7"/>
  <c r="D101" i="7"/>
  <c r="F101" i="7"/>
  <c r="D102" i="7"/>
  <c r="F102" i="7"/>
  <c r="D103" i="7"/>
  <c r="F103" i="7"/>
  <c r="F104" i="7"/>
  <c r="F61" i="2"/>
  <c r="G61" i="2"/>
  <c r="E62" i="2"/>
  <c r="F106" i="7"/>
  <c r="D107" i="7"/>
  <c r="F107" i="7"/>
  <c r="D108" i="7"/>
  <c r="F108" i="7"/>
  <c r="D109" i="7"/>
  <c r="F109" i="7"/>
  <c r="F110" i="7"/>
  <c r="F62" i="2"/>
  <c r="G62" i="2"/>
  <c r="E63" i="2"/>
  <c r="F157" i="7"/>
  <c r="D158" i="7"/>
  <c r="F158" i="7"/>
  <c r="D159" i="7"/>
  <c r="E159" i="7"/>
  <c r="F159" i="7"/>
  <c r="D160" i="7"/>
  <c r="F160" i="7"/>
  <c r="D161" i="7"/>
  <c r="F161" i="7"/>
  <c r="F162" i="7"/>
  <c r="F63" i="2"/>
  <c r="G63" i="2"/>
  <c r="E64" i="2"/>
  <c r="F64" i="2"/>
  <c r="G64" i="2"/>
  <c r="G65" i="2"/>
  <c r="F9" i="1"/>
  <c r="G68" i="2"/>
  <c r="E69" i="2"/>
  <c r="F33" i="6"/>
  <c r="F34" i="6"/>
  <c r="F35" i="6"/>
  <c r="F36" i="6"/>
  <c r="E204" i="7"/>
  <c r="F204" i="7"/>
  <c r="D205" i="7"/>
  <c r="E188" i="7"/>
  <c r="E199" i="7"/>
  <c r="E205" i="7"/>
  <c r="F205" i="7"/>
  <c r="D206" i="7"/>
  <c r="E200" i="7"/>
  <c r="E206" i="7"/>
  <c r="F206" i="7"/>
  <c r="D207" i="7"/>
  <c r="D57" i="6"/>
  <c r="E57" i="6"/>
  <c r="F57" i="6"/>
  <c r="D58" i="6"/>
  <c r="E58" i="6"/>
  <c r="F58" i="6"/>
  <c r="E59" i="6"/>
  <c r="F59" i="6"/>
  <c r="F60" i="6"/>
  <c r="F61" i="6"/>
  <c r="E207" i="7"/>
  <c r="F207" i="7"/>
  <c r="F208" i="7"/>
  <c r="F69" i="2"/>
  <c r="G69" i="2"/>
  <c r="E71" i="2"/>
  <c r="D15" i="6"/>
  <c r="F15" i="6"/>
  <c r="D16" i="6"/>
  <c r="F16" i="6"/>
  <c r="F17" i="6"/>
  <c r="F18" i="6"/>
  <c r="F19" i="6"/>
  <c r="F20" i="6"/>
  <c r="E198" i="7"/>
  <c r="F198" i="7"/>
  <c r="D199" i="7"/>
  <c r="F199" i="7"/>
  <c r="D200" i="7"/>
  <c r="F200" i="7"/>
  <c r="D201" i="7"/>
  <c r="E201" i="7"/>
  <c r="F201" i="7"/>
  <c r="F202" i="7"/>
  <c r="F71" i="2"/>
  <c r="G71" i="2"/>
  <c r="E72" i="2"/>
  <c r="F72" i="2"/>
  <c r="G72" i="2"/>
  <c r="G73" i="2"/>
  <c r="E74" i="2"/>
  <c r="E210" i="7"/>
  <c r="E216" i="7"/>
  <c r="E222" i="7"/>
  <c r="E228" i="7"/>
  <c r="F228" i="7"/>
  <c r="D229" i="7"/>
  <c r="E211" i="7"/>
  <c r="E217" i="7"/>
  <c r="E223" i="7"/>
  <c r="E229" i="7"/>
  <c r="F229" i="7"/>
  <c r="D230" i="7"/>
  <c r="E218" i="7"/>
  <c r="E224" i="7"/>
  <c r="E230" i="7"/>
  <c r="F230" i="7"/>
  <c r="D231" i="7"/>
  <c r="E213" i="7"/>
  <c r="E219" i="7"/>
  <c r="E225" i="7"/>
  <c r="E231" i="7"/>
  <c r="F231" i="7"/>
  <c r="F232" i="7"/>
  <c r="F74" i="2"/>
  <c r="G74" i="2"/>
  <c r="E75" i="2"/>
  <c r="F216" i="7"/>
  <c r="D217" i="7"/>
  <c r="F217" i="7"/>
  <c r="D218" i="7"/>
  <c r="F218" i="7"/>
  <c r="D219" i="7"/>
  <c r="F219" i="7"/>
  <c r="F220" i="7"/>
  <c r="F75" i="2"/>
  <c r="G75" i="2"/>
  <c r="G76" i="2"/>
  <c r="E77" i="2"/>
  <c r="E380" i="7"/>
  <c r="F380" i="7"/>
  <c r="E212" i="7"/>
  <c r="E236" i="7"/>
  <c r="E241" i="7"/>
  <c r="E248" i="7"/>
  <c r="E254" i="7"/>
  <c r="E260" i="7"/>
  <c r="E266" i="7"/>
  <c r="E272" i="7"/>
  <c r="E290" i="7"/>
  <c r="E296" i="7"/>
  <c r="E302" i="7"/>
  <c r="E308" i="7"/>
  <c r="E314" i="7"/>
  <c r="E320" i="7"/>
  <c r="E326" i="7"/>
  <c r="E356" i="7"/>
  <c r="E361" i="7"/>
  <c r="E366" i="7"/>
  <c r="E376" i="7"/>
  <c r="E381" i="7"/>
  <c r="F381" i="7"/>
  <c r="D63" i="6"/>
  <c r="E63" i="6"/>
  <c r="F63" i="6"/>
  <c r="D64" i="6"/>
  <c r="F64" i="6"/>
  <c r="E65" i="6"/>
  <c r="F65" i="6"/>
  <c r="E66" i="6"/>
  <c r="F66" i="6"/>
  <c r="E67" i="6"/>
  <c r="F67" i="6"/>
  <c r="F68" i="6"/>
  <c r="E362" i="7"/>
  <c r="E367" i="7"/>
  <c r="E372" i="7"/>
  <c r="E377" i="7"/>
  <c r="E382" i="7"/>
  <c r="F382" i="7"/>
  <c r="F383" i="7"/>
  <c r="F77" i="2"/>
  <c r="G77" i="2"/>
  <c r="E78" i="2"/>
  <c r="E246" i="7"/>
  <c r="E252" i="7"/>
  <c r="E258" i="7"/>
  <c r="E264" i="7"/>
  <c r="E270" i="7"/>
  <c r="E288" i="7"/>
  <c r="E294" i="7"/>
  <c r="E300" i="7"/>
  <c r="E306" i="7"/>
  <c r="E312" i="7"/>
  <c r="E318" i="7"/>
  <c r="E324" i="7"/>
  <c r="E354" i="7"/>
  <c r="E360" i="7"/>
  <c r="F360" i="7"/>
  <c r="D361" i="7"/>
  <c r="F361" i="7"/>
  <c r="D362" i="7"/>
  <c r="F362" i="7"/>
  <c r="F363" i="7"/>
  <c r="F78" i="2"/>
  <c r="G78" i="2"/>
  <c r="E79" i="2"/>
  <c r="E365" i="7"/>
  <c r="F365" i="7"/>
  <c r="D366" i="7"/>
  <c r="F366" i="7"/>
  <c r="D367" i="7"/>
  <c r="F367" i="7"/>
  <c r="F368" i="7"/>
  <c r="F79" i="2"/>
  <c r="G79" i="2"/>
  <c r="G80" i="2"/>
  <c r="G81" i="2"/>
  <c r="G82" i="2"/>
  <c r="E83" i="2"/>
  <c r="F83" i="2"/>
  <c r="G83" i="2"/>
  <c r="E84" i="2"/>
  <c r="F210" i="7"/>
  <c r="D211" i="7"/>
  <c r="F211" i="7"/>
  <c r="D212" i="7"/>
  <c r="F212" i="7"/>
  <c r="D213" i="7"/>
  <c r="F213" i="7"/>
  <c r="F214" i="7"/>
  <c r="F84" i="2"/>
  <c r="G84" i="2"/>
  <c r="E85" i="2"/>
  <c r="F85" i="2"/>
  <c r="G85" i="2"/>
  <c r="E86" i="2"/>
  <c r="E375" i="7"/>
  <c r="F375" i="7"/>
  <c r="F376" i="7"/>
  <c r="D377" i="7"/>
  <c r="F377" i="7"/>
  <c r="F378" i="7"/>
  <c r="F86" i="2"/>
  <c r="G86" i="2"/>
  <c r="E87" i="2"/>
  <c r="E396" i="7"/>
  <c r="F396" i="7"/>
  <c r="D397" i="7"/>
  <c r="E397" i="7"/>
  <c r="F397" i="7"/>
  <c r="D398" i="7"/>
  <c r="E387" i="7"/>
  <c r="E393" i="7"/>
  <c r="E398" i="7"/>
  <c r="F398" i="7"/>
  <c r="F399" i="7"/>
  <c r="F87" i="2"/>
  <c r="G87" i="2"/>
  <c r="E88" i="2"/>
  <c r="F88" i="2"/>
  <c r="G88" i="2"/>
  <c r="G89" i="2"/>
  <c r="G90" i="2"/>
  <c r="F10" i="1"/>
  <c r="E93" i="2"/>
  <c r="F288" i="7"/>
  <c r="D289" i="7"/>
  <c r="E247" i="7"/>
  <c r="E253" i="7"/>
  <c r="E259" i="7"/>
  <c r="E265" i="7"/>
  <c r="E271" i="7"/>
  <c r="E289" i="7"/>
  <c r="F289" i="7"/>
  <c r="D290" i="7"/>
  <c r="F290" i="7"/>
  <c r="D291" i="7"/>
  <c r="E249" i="7"/>
  <c r="E255" i="7"/>
  <c r="E261" i="7"/>
  <c r="E267" i="7"/>
  <c r="E273" i="7"/>
  <c r="E291" i="7"/>
  <c r="F291" i="7"/>
  <c r="F292" i="7"/>
  <c r="F93" i="2"/>
  <c r="G93" i="2"/>
  <c r="E94" i="2"/>
  <c r="F294" i="7"/>
  <c r="D295" i="7"/>
  <c r="E295" i="7"/>
  <c r="F295" i="7"/>
  <c r="D296" i="7"/>
  <c r="F296" i="7"/>
  <c r="D297" i="7"/>
  <c r="E297" i="7"/>
  <c r="F297" i="7"/>
  <c r="F298" i="7"/>
  <c r="F94" i="2"/>
  <c r="G94" i="2"/>
  <c r="E95" i="2"/>
  <c r="F306" i="7"/>
  <c r="D307" i="7"/>
  <c r="E301" i="7"/>
  <c r="E307" i="7"/>
  <c r="F307" i="7"/>
  <c r="D308" i="7"/>
  <c r="F308" i="7"/>
  <c r="D309" i="7"/>
  <c r="E303" i="7"/>
  <c r="E309" i="7"/>
  <c r="F309" i="7"/>
  <c r="F310" i="7"/>
  <c r="F95" i="2"/>
  <c r="G95" i="2"/>
  <c r="E96" i="2"/>
  <c r="F258" i="7"/>
  <c r="D259" i="7"/>
  <c r="F259" i="7"/>
  <c r="D260" i="7"/>
  <c r="F260" i="7"/>
  <c r="D261" i="7"/>
  <c r="F261" i="7"/>
  <c r="F262" i="7"/>
  <c r="F96" i="2"/>
  <c r="G96" i="2"/>
  <c r="E97" i="2"/>
  <c r="E276" i="7"/>
  <c r="F276" i="7"/>
  <c r="D277" i="7"/>
  <c r="E277" i="7"/>
  <c r="F277" i="7"/>
  <c r="D278" i="7"/>
  <c r="E278" i="7"/>
  <c r="F278" i="7"/>
  <c r="D279" i="7"/>
  <c r="E279" i="7"/>
  <c r="F279" i="7"/>
  <c r="F280" i="7"/>
  <c r="F97" i="2"/>
  <c r="G97" i="2"/>
  <c r="G98" i="2"/>
  <c r="E99" i="2"/>
  <c r="E282" i="7"/>
  <c r="F282" i="7"/>
  <c r="D283" i="7"/>
  <c r="E283" i="7"/>
  <c r="F283" i="7"/>
  <c r="D284" i="7"/>
  <c r="E284" i="7"/>
  <c r="F284" i="7"/>
  <c r="D285" i="7"/>
  <c r="E285" i="7"/>
  <c r="F285" i="7"/>
  <c r="F286" i="7"/>
  <c r="F99" i="2"/>
  <c r="G99" i="2"/>
  <c r="E100" i="2"/>
  <c r="E342" i="7"/>
  <c r="F342" i="7"/>
  <c r="D343" i="7"/>
  <c r="E313" i="7"/>
  <c r="E343" i="7"/>
  <c r="F343" i="7"/>
  <c r="D344" i="7"/>
  <c r="E344" i="7"/>
  <c r="F344" i="7"/>
  <c r="D345" i="7"/>
  <c r="E315" i="7"/>
  <c r="E345" i="7"/>
  <c r="F345" i="7"/>
  <c r="F346" i="7"/>
  <c r="F100" i="2"/>
  <c r="G100" i="2"/>
  <c r="E101" i="2"/>
  <c r="E348" i="7"/>
  <c r="F348" i="7"/>
  <c r="D349" i="7"/>
  <c r="E319" i="7"/>
  <c r="E349" i="7"/>
  <c r="F349" i="7"/>
  <c r="D350" i="7"/>
  <c r="E350" i="7"/>
  <c r="F350" i="7"/>
  <c r="D351" i="7"/>
  <c r="E321" i="7"/>
  <c r="E351" i="7"/>
  <c r="F351" i="7"/>
  <c r="F352" i="7"/>
  <c r="F101" i="2"/>
  <c r="G101" i="2"/>
  <c r="E102" i="2"/>
  <c r="F246" i="7"/>
  <c r="D247" i="7"/>
  <c r="F247" i="7"/>
  <c r="D248" i="7"/>
  <c r="F248" i="7"/>
  <c r="D249" i="7"/>
  <c r="F249" i="7"/>
  <c r="F250" i="7"/>
  <c r="F102" i="2"/>
  <c r="G102" i="2"/>
  <c r="G103" i="2"/>
  <c r="G104" i="2"/>
  <c r="E105" i="2"/>
  <c r="F312" i="7"/>
  <c r="D313" i="7"/>
  <c r="F313" i="7"/>
  <c r="D314" i="7"/>
  <c r="F314" i="7"/>
  <c r="D315" i="7"/>
  <c r="F315" i="7"/>
  <c r="F316" i="7"/>
  <c r="F105" i="2"/>
  <c r="G105" i="2"/>
  <c r="E106" i="2"/>
  <c r="F252" i="7"/>
  <c r="D253" i="7"/>
  <c r="F253" i="7"/>
  <c r="D254" i="7"/>
  <c r="F254" i="7"/>
  <c r="D255" i="7"/>
  <c r="F255" i="7"/>
  <c r="F256" i="7"/>
  <c r="F106" i="2"/>
  <c r="G106" i="2"/>
  <c r="E107" i="2"/>
  <c r="F318" i="7"/>
  <c r="D319" i="7"/>
  <c r="F319" i="7"/>
  <c r="D320" i="7"/>
  <c r="F320" i="7"/>
  <c r="D321" i="7"/>
  <c r="F321" i="7"/>
  <c r="F322" i="7"/>
  <c r="F107" i="2"/>
  <c r="G107" i="2"/>
  <c r="E108" i="2"/>
  <c r="F324" i="7"/>
  <c r="D325" i="7"/>
  <c r="E325" i="7"/>
  <c r="F325" i="7"/>
  <c r="D326" i="7"/>
  <c r="F326" i="7"/>
  <c r="D327" i="7"/>
  <c r="E327" i="7"/>
  <c r="F327" i="7"/>
  <c r="F328" i="7"/>
  <c r="F108" i="2"/>
  <c r="G108" i="2"/>
  <c r="E109" i="2"/>
  <c r="F300" i="7"/>
  <c r="D301" i="7"/>
  <c r="F301" i="7"/>
  <c r="D302" i="7"/>
  <c r="F302" i="7"/>
  <c r="D303" i="7"/>
  <c r="F303" i="7"/>
  <c r="F304" i="7"/>
  <c r="F109" i="2"/>
  <c r="G109" i="2"/>
  <c r="E110" i="2"/>
  <c r="F264" i="7"/>
  <c r="D265" i="7"/>
  <c r="F265" i="7"/>
  <c r="D266" i="7"/>
  <c r="F266" i="7"/>
  <c r="D267" i="7"/>
  <c r="F267" i="7"/>
  <c r="F268" i="7"/>
  <c r="F110" i="2"/>
  <c r="G110" i="2"/>
  <c r="E111" i="2"/>
  <c r="F270" i="7"/>
  <c r="D271" i="7"/>
  <c r="F271" i="7"/>
  <c r="D272" i="7"/>
  <c r="F272" i="7"/>
  <c r="D273" i="7"/>
  <c r="F273" i="7"/>
  <c r="F274" i="7"/>
  <c r="F111" i="2"/>
  <c r="G111" i="2"/>
  <c r="E112" i="2"/>
  <c r="F354" i="7"/>
  <c r="D355" i="7"/>
  <c r="E355" i="7"/>
  <c r="F355" i="7"/>
  <c r="D356" i="7"/>
  <c r="F356" i="7"/>
  <c r="D357" i="7"/>
  <c r="E357" i="7"/>
  <c r="F357" i="7"/>
  <c r="F358" i="7"/>
  <c r="F112" i="2"/>
  <c r="G112" i="2"/>
  <c r="E113" i="2"/>
  <c r="E401" i="7"/>
  <c r="F401" i="7"/>
  <c r="D402" i="7"/>
  <c r="E402" i="7"/>
  <c r="F402" i="7"/>
  <c r="D403" i="7"/>
  <c r="E403" i="7"/>
  <c r="F403" i="7"/>
  <c r="F404" i="7"/>
  <c r="F113" i="2"/>
  <c r="G113" i="2"/>
  <c r="G114" i="2"/>
  <c r="G115" i="2"/>
  <c r="F11" i="1"/>
  <c r="E117" i="2"/>
  <c r="D94" i="6"/>
  <c r="E94" i="6"/>
  <c r="F94" i="6"/>
  <c r="D95" i="6"/>
  <c r="F95" i="6"/>
  <c r="F96" i="6"/>
  <c r="F97" i="6"/>
  <c r="F98" i="6"/>
  <c r="F117" i="2"/>
  <c r="G117" i="2"/>
  <c r="E118" i="2"/>
  <c r="F118" i="2"/>
  <c r="G118" i="2"/>
  <c r="E119" i="2"/>
  <c r="E148" i="6"/>
  <c r="F148" i="6"/>
  <c r="F149" i="6"/>
  <c r="F150" i="6"/>
  <c r="F119" i="2"/>
  <c r="G119" i="2"/>
  <c r="E128" i="2"/>
  <c r="E123" i="2"/>
  <c r="E120" i="2"/>
  <c r="D119" i="6"/>
  <c r="E119" i="6"/>
  <c r="F119" i="6"/>
  <c r="F120" i="6"/>
  <c r="F121" i="6"/>
  <c r="F122" i="6"/>
  <c r="D128" i="6"/>
  <c r="E128" i="6"/>
  <c r="F128" i="6"/>
  <c r="E129" i="6"/>
  <c r="F129" i="6"/>
  <c r="F130" i="6"/>
  <c r="F131" i="6"/>
  <c r="F120" i="2"/>
  <c r="G120" i="2"/>
  <c r="E121" i="2"/>
  <c r="E124" i="6"/>
  <c r="E133" i="6"/>
  <c r="F133" i="6"/>
  <c r="F134" i="6"/>
  <c r="F135" i="6"/>
  <c r="F136" i="6"/>
  <c r="F121" i="2"/>
  <c r="G121" i="2"/>
  <c r="D124" i="6"/>
  <c r="F124" i="6"/>
  <c r="F125" i="6"/>
  <c r="F126" i="6"/>
  <c r="F122" i="2"/>
  <c r="G122" i="2"/>
  <c r="F123" i="2"/>
  <c r="G123" i="2"/>
  <c r="E124" i="2"/>
  <c r="D163" i="6"/>
  <c r="E163" i="6"/>
  <c r="F163" i="6"/>
  <c r="F164" i="6"/>
  <c r="F165" i="6"/>
  <c r="F124" i="2"/>
  <c r="G124" i="2"/>
  <c r="G125" i="2"/>
  <c r="G126" i="2"/>
  <c r="E127" i="2"/>
  <c r="E100" i="6"/>
  <c r="F100" i="6"/>
  <c r="D101" i="6"/>
  <c r="E101" i="6"/>
  <c r="F101" i="6"/>
  <c r="F102" i="6"/>
  <c r="F103" i="6"/>
  <c r="F104" i="6"/>
  <c r="F127" i="2"/>
  <c r="G127" i="2"/>
  <c r="F128" i="2"/>
  <c r="G128" i="2"/>
  <c r="D196" i="6"/>
  <c r="F196" i="6"/>
  <c r="F197" i="6"/>
  <c r="F198" i="6"/>
  <c r="F129" i="2"/>
  <c r="G129" i="2"/>
  <c r="E137" i="2"/>
  <c r="E130" i="2"/>
  <c r="F187" i="2"/>
  <c r="F130" i="2"/>
  <c r="G130" i="2"/>
  <c r="G131" i="2"/>
  <c r="F12" i="1"/>
  <c r="E134" i="2"/>
  <c r="D208" i="6"/>
  <c r="E208" i="6"/>
  <c r="F208" i="6"/>
  <c r="D209" i="6"/>
  <c r="F209" i="6"/>
  <c r="F210" i="6"/>
  <c r="F211" i="6"/>
  <c r="F212" i="6"/>
  <c r="F134" i="2"/>
  <c r="G134" i="2"/>
  <c r="E135" i="2"/>
  <c r="D138" i="6"/>
  <c r="E138" i="6"/>
  <c r="F138" i="6"/>
  <c r="F139" i="6"/>
  <c r="F140" i="6"/>
  <c r="F141" i="6"/>
  <c r="F142" i="6"/>
  <c r="F135" i="2"/>
  <c r="G135" i="2"/>
  <c r="E136" i="2"/>
  <c r="F136" i="2"/>
  <c r="G136" i="2"/>
  <c r="D152" i="6"/>
  <c r="E152" i="6"/>
  <c r="F152" i="6"/>
  <c r="E153" i="6"/>
  <c r="F153" i="6"/>
  <c r="E154" i="6"/>
  <c r="F154" i="6"/>
  <c r="F155" i="6"/>
  <c r="F156" i="6"/>
  <c r="F137" i="2"/>
  <c r="G137" i="2"/>
  <c r="E138" i="2"/>
  <c r="F138" i="2"/>
  <c r="G138" i="2"/>
  <c r="E139" i="2"/>
  <c r="D214" i="6"/>
  <c r="F214" i="6"/>
  <c r="E193" i="6"/>
  <c r="E201" i="6"/>
  <c r="E215" i="6"/>
  <c r="F215" i="6"/>
  <c r="F216" i="6"/>
  <c r="F139" i="2"/>
  <c r="G139" i="2"/>
  <c r="G140" i="2"/>
  <c r="G141" i="2"/>
  <c r="E142" i="2"/>
  <c r="F142" i="2"/>
  <c r="G142" i="2"/>
  <c r="E143" i="2"/>
  <c r="E406" i="7"/>
  <c r="F406" i="7"/>
  <c r="D407" i="7"/>
  <c r="E407" i="7"/>
  <c r="F407" i="7"/>
  <c r="D408" i="7"/>
  <c r="E408" i="7"/>
  <c r="F408" i="7"/>
  <c r="D409" i="7"/>
  <c r="F167" i="6"/>
  <c r="E168" i="6"/>
  <c r="F168" i="6"/>
  <c r="F169" i="6"/>
  <c r="F170" i="6"/>
  <c r="D171" i="6"/>
  <c r="E171" i="6"/>
  <c r="F171" i="6"/>
  <c r="F172" i="6"/>
  <c r="F173" i="6"/>
  <c r="E409" i="7"/>
  <c r="F409" i="7"/>
  <c r="F410" i="7"/>
  <c r="F143" i="2"/>
  <c r="G143" i="2"/>
  <c r="E144" i="2"/>
  <c r="F144" i="2"/>
  <c r="G144" i="2"/>
  <c r="E145" i="2"/>
  <c r="F145" i="2"/>
  <c r="G145" i="2"/>
  <c r="F146" i="2"/>
  <c r="G146" i="2"/>
  <c r="E147" i="2"/>
  <c r="F147" i="2"/>
  <c r="G147" i="2"/>
  <c r="G148" i="2"/>
  <c r="F13" i="1"/>
  <c r="E151" i="2"/>
  <c r="E150" i="2"/>
  <c r="F144" i="6"/>
  <c r="F145" i="6"/>
  <c r="F146" i="6"/>
  <c r="F150" i="2"/>
  <c r="G150" i="2"/>
  <c r="F151" i="2"/>
  <c r="G151" i="2"/>
  <c r="E152" i="2"/>
  <c r="G152" i="2"/>
  <c r="D204" i="6"/>
  <c r="F204" i="6"/>
  <c r="F205" i="6"/>
  <c r="F206" i="6"/>
  <c r="F153" i="2"/>
  <c r="G153" i="2"/>
  <c r="G154" i="2"/>
  <c r="G155" i="2"/>
  <c r="G156" i="2"/>
  <c r="G157" i="2"/>
  <c r="G158" i="2"/>
  <c r="G159" i="2"/>
  <c r="F14" i="1"/>
  <c r="F161" i="2"/>
  <c r="G161" i="2"/>
  <c r="F162" i="2"/>
  <c r="G162" i="2"/>
  <c r="F163" i="2"/>
  <c r="G163" i="2"/>
  <c r="F8" i="8"/>
  <c r="G8" i="8"/>
  <c r="F9" i="8"/>
  <c r="G9" i="8"/>
  <c r="F10" i="8"/>
  <c r="G10" i="8"/>
  <c r="F11" i="8"/>
  <c r="G11" i="8"/>
  <c r="F12" i="8"/>
  <c r="G12" i="8"/>
  <c r="G13" i="8"/>
  <c r="G14" i="8"/>
  <c r="F164" i="2"/>
  <c r="G164" i="2"/>
  <c r="F17" i="8"/>
  <c r="G17" i="8"/>
  <c r="F19" i="8"/>
  <c r="G19" i="8"/>
  <c r="F20" i="8"/>
  <c r="G20" i="8"/>
  <c r="F21" i="8"/>
  <c r="G21" i="8"/>
  <c r="F22" i="8"/>
  <c r="G22" i="8"/>
  <c r="F23" i="8"/>
  <c r="G23" i="8"/>
  <c r="G24" i="8"/>
  <c r="F165" i="2"/>
  <c r="G165" i="2"/>
  <c r="F166" i="2"/>
  <c r="G166" i="2"/>
  <c r="D191" i="6"/>
  <c r="F191" i="6"/>
  <c r="F192" i="6"/>
  <c r="F193" i="6"/>
  <c r="F194" i="6"/>
  <c r="F167" i="2"/>
  <c r="G167" i="2"/>
  <c r="E168" i="2"/>
  <c r="G168" i="2"/>
  <c r="E169" i="2"/>
  <c r="F169" i="2"/>
  <c r="G169" i="2"/>
  <c r="G170" i="2"/>
  <c r="G171" i="2"/>
  <c r="G172" i="2"/>
  <c r="G173" i="2"/>
  <c r="G174" i="2"/>
  <c r="G175" i="2"/>
  <c r="F15" i="1"/>
  <c r="G177" i="2"/>
  <c r="E178" i="2"/>
  <c r="F178" i="2"/>
  <c r="G178" i="2"/>
  <c r="E179" i="2"/>
  <c r="F179" i="2"/>
  <c r="G179" i="2"/>
  <c r="E180" i="2"/>
  <c r="F180" i="2"/>
  <c r="G180" i="2"/>
  <c r="F181" i="2"/>
  <c r="G181" i="2"/>
  <c r="E182" i="2"/>
  <c r="F182" i="2"/>
  <c r="G182" i="2"/>
  <c r="F183" i="2"/>
  <c r="G183" i="2"/>
  <c r="E184" i="2"/>
  <c r="F184" i="2"/>
  <c r="G184" i="2"/>
  <c r="G185" i="2"/>
  <c r="E186" i="2"/>
  <c r="F186" i="2"/>
  <c r="G186" i="2"/>
  <c r="E187" i="2"/>
  <c r="G187" i="2"/>
  <c r="E188" i="2"/>
  <c r="F188" i="2"/>
  <c r="G188" i="2"/>
  <c r="G189" i="2"/>
  <c r="G190" i="2"/>
  <c r="E191" i="2"/>
  <c r="F191" i="2"/>
  <c r="G191" i="2"/>
  <c r="E192" i="2"/>
  <c r="G192" i="2"/>
  <c r="G193" i="2"/>
  <c r="G194" i="2"/>
  <c r="F16" i="1"/>
  <c r="E197" i="2"/>
  <c r="F197" i="2"/>
  <c r="G197" i="2"/>
  <c r="E198" i="2"/>
  <c r="F198" i="2"/>
  <c r="G198" i="2"/>
  <c r="G199" i="2"/>
  <c r="E200" i="2"/>
  <c r="E183" i="6"/>
  <c r="F183" i="6"/>
  <c r="E176" i="6"/>
  <c r="E184" i="6"/>
  <c r="F184" i="6"/>
  <c r="E185" i="6"/>
  <c r="F185" i="6"/>
  <c r="D186" i="6"/>
  <c r="E186" i="6"/>
  <c r="F186" i="6"/>
  <c r="D187" i="6"/>
  <c r="E179" i="6"/>
  <c r="E187" i="6"/>
  <c r="F187" i="6"/>
  <c r="F188" i="6"/>
  <c r="F189" i="6"/>
  <c r="F200" i="2"/>
  <c r="G200" i="2"/>
  <c r="E201" i="2"/>
  <c r="E175" i="6"/>
  <c r="F175" i="6"/>
  <c r="F176" i="6"/>
  <c r="E177" i="6"/>
  <c r="F177" i="6"/>
  <c r="E178" i="6"/>
  <c r="F178" i="6"/>
  <c r="D179" i="6"/>
  <c r="F179" i="6"/>
  <c r="F180" i="6"/>
  <c r="F181" i="6"/>
  <c r="F201" i="2"/>
  <c r="G201" i="2"/>
  <c r="G202" i="2"/>
  <c r="G203" i="2"/>
  <c r="G204" i="2"/>
  <c r="G205" i="2"/>
  <c r="G207" i="2"/>
  <c r="F17" i="1"/>
  <c r="E209" i="2"/>
  <c r="F209" i="2"/>
  <c r="G209" i="2"/>
  <c r="F210" i="2"/>
  <c r="G210" i="2"/>
  <c r="F211" i="2"/>
  <c r="G211" i="2"/>
  <c r="E212" i="2"/>
  <c r="F212" i="2"/>
  <c r="G212" i="2"/>
  <c r="G213" i="2"/>
  <c r="F214" i="2"/>
  <c r="G214" i="2"/>
  <c r="G215" i="2"/>
  <c r="G216" i="2"/>
  <c r="G217" i="2"/>
  <c r="F218" i="2"/>
  <c r="G218" i="2"/>
  <c r="F219" i="2"/>
  <c r="G219" i="2"/>
  <c r="G220" i="2"/>
  <c r="F223" i="2"/>
  <c r="G223" i="2"/>
  <c r="F224" i="2"/>
  <c r="G224" i="2"/>
  <c r="F225" i="2"/>
  <c r="G225" i="2"/>
  <c r="F226" i="2"/>
  <c r="G226" i="2"/>
  <c r="E227" i="2"/>
  <c r="F227" i="2"/>
  <c r="G227" i="2"/>
  <c r="E228" i="2"/>
  <c r="F228" i="2"/>
  <c r="G228" i="2"/>
  <c r="G229" i="2"/>
  <c r="F230" i="2"/>
  <c r="G230" i="2"/>
  <c r="F231" i="2"/>
  <c r="G231" i="2"/>
  <c r="F232" i="2"/>
  <c r="G232" i="2"/>
  <c r="E233" i="2"/>
  <c r="F233" i="2"/>
  <c r="G233" i="2"/>
  <c r="G234" i="2"/>
  <c r="G235" i="2"/>
  <c r="E236" i="2"/>
  <c r="F236" i="2"/>
  <c r="G236" i="2"/>
  <c r="G237" i="2"/>
  <c r="G238" i="2"/>
  <c r="G239" i="2"/>
  <c r="G240" i="2"/>
  <c r="E241" i="2"/>
  <c r="F241" i="2"/>
  <c r="G241" i="2"/>
  <c r="E242" i="2"/>
  <c r="F242" i="2"/>
  <c r="G242" i="2"/>
  <c r="G243" i="2"/>
  <c r="G244" i="2"/>
  <c r="F18" i="1"/>
  <c r="F246" i="2"/>
  <c r="G246" i="2"/>
  <c r="E247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3" i="2"/>
  <c r="F284" i="2"/>
  <c r="G284" i="2"/>
  <c r="G285" i="2"/>
  <c r="F286" i="2"/>
  <c r="G286" i="2"/>
  <c r="G287" i="2"/>
  <c r="F288" i="2"/>
  <c r="G288" i="2"/>
  <c r="G289" i="2"/>
  <c r="G290" i="2"/>
  <c r="G291" i="2"/>
  <c r="G292" i="2"/>
  <c r="G293" i="2"/>
  <c r="G294" i="2"/>
  <c r="G295" i="2"/>
  <c r="G296" i="2"/>
  <c r="G297" i="2"/>
  <c r="F19" i="1"/>
  <c r="G299" i="2"/>
  <c r="G305" i="2"/>
  <c r="F20" i="1"/>
  <c r="F22" i="1"/>
  <c r="F23" i="1"/>
  <c r="G9" i="4"/>
  <c r="F10" i="4"/>
  <c r="G10" i="4"/>
  <c r="E11" i="4"/>
  <c r="F11" i="4"/>
  <c r="G11" i="4"/>
  <c r="F12" i="4"/>
  <c r="G12" i="4"/>
  <c r="E13" i="4"/>
  <c r="G13" i="4"/>
  <c r="F14" i="4"/>
  <c r="G14" i="4"/>
  <c r="E15" i="4"/>
  <c r="F15" i="4"/>
  <c r="G15" i="4"/>
  <c r="G16" i="4"/>
  <c r="G17" i="4"/>
  <c r="G18" i="4"/>
  <c r="G19" i="4"/>
  <c r="G20" i="4"/>
  <c r="G21" i="4"/>
  <c r="G22" i="4"/>
  <c r="G23" i="4"/>
  <c r="F24" i="4"/>
  <c r="G24" i="4"/>
  <c r="G25" i="4"/>
  <c r="F7" i="3"/>
  <c r="E28" i="4"/>
  <c r="E118" i="7"/>
  <c r="E124" i="7"/>
  <c r="E130" i="7"/>
  <c r="E187" i="7"/>
  <c r="F187" i="7"/>
  <c r="D188" i="7"/>
  <c r="F188" i="7"/>
  <c r="D189" i="7"/>
  <c r="E121" i="7"/>
  <c r="E127" i="7"/>
  <c r="E133" i="7"/>
  <c r="E189" i="7"/>
  <c r="F189" i="7"/>
  <c r="F190" i="7"/>
  <c r="F28" i="4"/>
  <c r="G28" i="4"/>
  <c r="E29" i="4"/>
  <c r="E192" i="7"/>
  <c r="F192" i="7"/>
  <c r="D193" i="7"/>
  <c r="E193" i="7"/>
  <c r="F193" i="7"/>
  <c r="D194" i="7"/>
  <c r="E194" i="7"/>
  <c r="F194" i="7"/>
  <c r="D195" i="7"/>
  <c r="E195" i="7"/>
  <c r="F195" i="7"/>
  <c r="F196" i="7"/>
  <c r="F29" i="4"/>
  <c r="G29" i="4"/>
  <c r="E30" i="4"/>
  <c r="E94" i="7"/>
  <c r="F94" i="7"/>
  <c r="D95" i="7"/>
  <c r="F95" i="7"/>
  <c r="D96" i="7"/>
  <c r="F96" i="7"/>
  <c r="D97" i="7"/>
  <c r="F97" i="7"/>
  <c r="F98" i="7"/>
  <c r="F30" i="4"/>
  <c r="G30" i="4"/>
  <c r="G31" i="4"/>
  <c r="E32" i="4"/>
  <c r="F32" i="4"/>
  <c r="G32" i="4"/>
  <c r="E33" i="4"/>
  <c r="F118" i="7"/>
  <c r="D119" i="7"/>
  <c r="F119" i="7"/>
  <c r="D120" i="7"/>
  <c r="F120" i="7"/>
  <c r="D121" i="7"/>
  <c r="F121" i="7"/>
  <c r="F122" i="7"/>
  <c r="F33" i="4"/>
  <c r="G33" i="4"/>
  <c r="E34" i="4"/>
  <c r="F124" i="7"/>
  <c r="D125" i="7"/>
  <c r="F125" i="7"/>
  <c r="D126" i="7"/>
  <c r="F126" i="7"/>
  <c r="D127" i="7"/>
  <c r="F127" i="7"/>
  <c r="F128" i="7"/>
  <c r="F34" i="4"/>
  <c r="G34" i="4"/>
  <c r="E35" i="4"/>
  <c r="F130" i="7"/>
  <c r="D131" i="7"/>
  <c r="F131" i="7"/>
  <c r="D132" i="7"/>
  <c r="F132" i="7"/>
  <c r="D133" i="7"/>
  <c r="F133" i="7"/>
  <c r="F134" i="7"/>
  <c r="F35" i="4"/>
  <c r="G35" i="4"/>
  <c r="E37" i="4"/>
  <c r="F37" i="4"/>
  <c r="G37" i="4"/>
  <c r="G38" i="4"/>
  <c r="E39" i="4"/>
  <c r="F39" i="4"/>
  <c r="G39" i="4"/>
  <c r="E40" i="4"/>
  <c r="F40" i="4"/>
  <c r="G40" i="4"/>
  <c r="G42" i="4"/>
  <c r="G43" i="4"/>
  <c r="G44" i="4"/>
  <c r="G45" i="4"/>
  <c r="G47" i="4"/>
  <c r="G48" i="4"/>
  <c r="E49" i="4"/>
  <c r="F49" i="4"/>
  <c r="G49" i="4"/>
  <c r="E50" i="4"/>
  <c r="F50" i="4"/>
  <c r="G50" i="4"/>
  <c r="G51" i="4"/>
  <c r="G52" i="4"/>
  <c r="E53" i="4"/>
  <c r="E52" i="7"/>
  <c r="F52" i="7"/>
  <c r="D53" i="7"/>
  <c r="E53" i="7"/>
  <c r="F53" i="7"/>
  <c r="D54" i="7"/>
  <c r="E54" i="7"/>
  <c r="F54" i="7"/>
  <c r="D55" i="7"/>
  <c r="F55" i="7"/>
  <c r="F56" i="7"/>
  <c r="F53" i="4"/>
  <c r="G53" i="4"/>
  <c r="E54" i="4"/>
  <c r="E370" i="7"/>
  <c r="F370" i="7"/>
  <c r="D371" i="7"/>
  <c r="E371" i="7"/>
  <c r="F371" i="7"/>
  <c r="D372" i="7"/>
  <c r="F372" i="7"/>
  <c r="F373" i="7"/>
  <c r="F54" i="4"/>
  <c r="G54" i="4"/>
  <c r="E55" i="4"/>
  <c r="E385" i="7"/>
  <c r="F385" i="7"/>
  <c r="D386" i="7"/>
  <c r="E386" i="7"/>
  <c r="F386" i="7"/>
  <c r="D387" i="7"/>
  <c r="F387" i="7"/>
  <c r="F388" i="7"/>
  <c r="F55" i="4"/>
  <c r="G55" i="4"/>
  <c r="E56" i="4"/>
  <c r="E390" i="7"/>
  <c r="F390" i="7"/>
  <c r="D391" i="7"/>
  <c r="E391" i="7"/>
  <c r="F391" i="7"/>
  <c r="D392" i="7"/>
  <c r="E392" i="7"/>
  <c r="F392" i="7"/>
  <c r="F393" i="7"/>
  <c r="F394" i="7"/>
  <c r="F56" i="4"/>
  <c r="G56" i="4"/>
  <c r="F57" i="4"/>
  <c r="G57" i="4"/>
  <c r="G58" i="4"/>
  <c r="F8" i="3"/>
  <c r="G60" i="4"/>
  <c r="G61" i="4"/>
  <c r="F62" i="4"/>
  <c r="G62" i="4"/>
  <c r="E63" i="4"/>
  <c r="F63" i="4"/>
  <c r="G63" i="4"/>
  <c r="E64" i="4"/>
  <c r="F64" i="4"/>
  <c r="G64" i="4"/>
  <c r="G65" i="4"/>
  <c r="G66" i="4"/>
  <c r="G67" i="4"/>
  <c r="G68" i="4"/>
  <c r="G69" i="4"/>
  <c r="G70" i="4"/>
  <c r="G71" i="4"/>
  <c r="G72" i="4"/>
  <c r="G73" i="4"/>
  <c r="F9" i="3"/>
  <c r="E75" i="4"/>
  <c r="F75" i="4"/>
  <c r="G75" i="4"/>
  <c r="E76" i="4"/>
  <c r="F76" i="4"/>
  <c r="G76" i="4"/>
  <c r="E77" i="4"/>
  <c r="F77" i="4"/>
  <c r="G77" i="4"/>
  <c r="E78" i="4"/>
  <c r="G78" i="4"/>
  <c r="E79" i="4"/>
  <c r="G79" i="4"/>
  <c r="E80" i="4"/>
  <c r="F80" i="4"/>
  <c r="G80" i="4"/>
  <c r="E81" i="4"/>
  <c r="F81" i="4"/>
  <c r="G81" i="4"/>
  <c r="G82" i="4"/>
  <c r="G83" i="4"/>
  <c r="G84" i="4"/>
  <c r="G85" i="4"/>
  <c r="G86" i="4"/>
  <c r="G87" i="4"/>
  <c r="F10" i="3"/>
  <c r="G89" i="4"/>
  <c r="F90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F111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F123" i="4"/>
  <c r="G123" i="4"/>
  <c r="G124" i="4"/>
  <c r="F11" i="3"/>
  <c r="E126" i="4"/>
  <c r="F126" i="4"/>
  <c r="G126" i="4"/>
  <c r="E127" i="4"/>
  <c r="D112" i="6"/>
  <c r="E112" i="6"/>
  <c r="F112" i="6"/>
  <c r="D113" i="6"/>
  <c r="E113" i="6"/>
  <c r="F113" i="6"/>
  <c r="D114" i="6"/>
  <c r="E114" i="6"/>
  <c r="F114" i="6"/>
  <c r="F115" i="6"/>
  <c r="E116" i="6"/>
  <c r="F116" i="6"/>
  <c r="F117" i="6"/>
  <c r="F127" i="4"/>
  <c r="G127" i="4"/>
  <c r="E128" i="4"/>
  <c r="G128" i="4"/>
  <c r="G129" i="4"/>
  <c r="G130" i="4"/>
  <c r="E131" i="4"/>
  <c r="F131" i="4"/>
  <c r="G131" i="4"/>
  <c r="G132" i="4"/>
  <c r="G133" i="4"/>
  <c r="F134" i="4"/>
  <c r="G134" i="4"/>
  <c r="G135" i="4"/>
  <c r="G136" i="4"/>
  <c r="G137" i="4"/>
  <c r="G138" i="4"/>
  <c r="F12" i="3"/>
  <c r="F14" i="3"/>
  <c r="F15" i="3"/>
  <c r="H180" i="2"/>
  <c r="H83" i="2"/>
  <c r="H63" i="2"/>
  <c r="D91" i="7"/>
  <c r="D90" i="7"/>
  <c r="D89" i="7"/>
  <c r="D339" i="7"/>
  <c r="D338" i="7"/>
  <c r="D337" i="7"/>
  <c r="D333" i="7"/>
  <c r="D332" i="7"/>
  <c r="D331" i="7"/>
  <c r="F251" i="7"/>
  <c r="D243" i="7"/>
  <c r="D242" i="7"/>
  <c r="D241" i="7"/>
  <c r="D237" i="7"/>
  <c r="D236" i="7"/>
  <c r="D235" i="7"/>
  <c r="D225" i="7"/>
  <c r="D224" i="7"/>
  <c r="D223" i="7"/>
  <c r="D49" i="7"/>
  <c r="D48" i="7"/>
  <c r="D47" i="7"/>
  <c r="D31" i="7"/>
  <c r="D30" i="7"/>
  <c r="D29" i="7"/>
  <c r="D25" i="7"/>
  <c r="D24" i="7"/>
  <c r="D23" i="7"/>
  <c r="D200" i="6"/>
  <c r="F200" i="6"/>
  <c r="F160" i="6"/>
  <c r="F159" i="6"/>
  <c r="E158" i="6"/>
  <c r="D158" i="6"/>
  <c r="D76" i="6"/>
  <c r="E75" i="6"/>
  <c r="D75" i="6"/>
  <c r="F24" i="6"/>
  <c r="E23" i="6"/>
  <c r="F23" i="6"/>
  <c r="F22" i="6"/>
  <c r="F75" i="6"/>
  <c r="F76" i="6"/>
  <c r="F25" i="6"/>
  <c r="F158" i="6"/>
  <c r="F161" i="6"/>
  <c r="E77" i="6"/>
  <c r="F77" i="6"/>
  <c r="F201" i="6"/>
  <c r="F202" i="6"/>
  <c r="A71" i="2"/>
  <c r="A43" i="4"/>
  <c r="A44" i="4"/>
  <c r="A45" i="4"/>
  <c r="A45" i="2"/>
  <c r="A46" i="2"/>
  <c r="A47" i="2"/>
  <c r="A48" i="2"/>
  <c r="A49" i="2"/>
  <c r="A50" i="2"/>
  <c r="A51" i="2"/>
  <c r="A52" i="2"/>
  <c r="A53" i="2"/>
  <c r="A54" i="2"/>
  <c r="A55" i="2"/>
  <c r="A38" i="4"/>
  <c r="A39" i="4"/>
  <c r="A40" i="4"/>
  <c r="A29" i="4"/>
  <c r="A30" i="4"/>
  <c r="A31" i="4"/>
  <c r="A32" i="4"/>
  <c r="A33" i="4"/>
  <c r="A34" i="4"/>
  <c r="A35" i="4"/>
  <c r="F78" i="6"/>
  <c r="E242" i="7"/>
  <c r="F242" i="7"/>
  <c r="E24" i="7"/>
  <c r="F24" i="7"/>
  <c r="E240" i="7"/>
  <c r="F240" i="7"/>
  <c r="E23" i="7"/>
  <c r="F23" i="7"/>
  <c r="F48" i="7"/>
  <c r="F30" i="7"/>
  <c r="F29" i="7"/>
  <c r="E90" i="7"/>
  <c r="F90" i="7"/>
  <c r="F28" i="7"/>
  <c r="E22" i="7"/>
  <c r="F22" i="7"/>
  <c r="F31" i="7"/>
  <c r="E25" i="7"/>
  <c r="F25" i="7"/>
  <c r="F224" i="7"/>
  <c r="A135" i="4"/>
  <c r="A127" i="4"/>
  <c r="A128" i="4"/>
  <c r="A129" i="4"/>
  <c r="A130" i="4"/>
  <c r="A131" i="4"/>
  <c r="A121" i="4"/>
  <c r="A110" i="4"/>
  <c r="A90" i="4"/>
  <c r="A91" i="4"/>
  <c r="A92" i="4"/>
  <c r="A76" i="4"/>
  <c r="A71" i="4"/>
  <c r="A61" i="4"/>
  <c r="A62" i="4"/>
  <c r="A63" i="4"/>
  <c r="A64" i="4"/>
  <c r="A65" i="4"/>
  <c r="A66" i="4"/>
  <c r="A67" i="4"/>
  <c r="A47" i="4"/>
  <c r="A48" i="4"/>
  <c r="A49" i="4"/>
  <c r="A50" i="4"/>
  <c r="A21" i="4"/>
  <c r="A10" i="4"/>
  <c r="A12" i="4"/>
  <c r="A3" i="4"/>
  <c r="B12" i="3"/>
  <c r="A12" i="3"/>
  <c r="B11" i="3"/>
  <c r="A11" i="3"/>
  <c r="B10" i="3"/>
  <c r="A10" i="3"/>
  <c r="B9" i="3"/>
  <c r="A9" i="3"/>
  <c r="B8" i="3"/>
  <c r="A8" i="3"/>
  <c r="B7" i="3"/>
  <c r="A7" i="3"/>
  <c r="A30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24" i="2"/>
  <c r="A225" i="2"/>
  <c r="A226" i="2"/>
  <c r="A227" i="2"/>
  <c r="A228" i="2"/>
  <c r="A229" i="2"/>
  <c r="A230" i="2"/>
  <c r="A231" i="2"/>
  <c r="A232" i="2"/>
  <c r="A233" i="2"/>
  <c r="A210" i="2"/>
  <c r="A211" i="2"/>
  <c r="A212" i="2"/>
  <c r="A213" i="2"/>
  <c r="A214" i="2"/>
  <c r="A215" i="2"/>
  <c r="A216" i="2"/>
  <c r="A217" i="2"/>
  <c r="A218" i="2"/>
  <c r="A219" i="2"/>
  <c r="A220" i="2"/>
  <c r="A205" i="2"/>
  <c r="A199" i="2"/>
  <c r="A185" i="2"/>
  <c r="A186" i="2"/>
  <c r="A187" i="2"/>
  <c r="A188" i="2"/>
  <c r="A162" i="2"/>
  <c r="A163" i="2"/>
  <c r="A164" i="2"/>
  <c r="A165" i="2"/>
  <c r="A166" i="2"/>
  <c r="A167" i="2"/>
  <c r="A168" i="2"/>
  <c r="A169" i="2"/>
  <c r="A151" i="2"/>
  <c r="A152" i="2"/>
  <c r="A153" i="2"/>
  <c r="A135" i="2"/>
  <c r="A136" i="2"/>
  <c r="A137" i="2"/>
  <c r="A138" i="2"/>
  <c r="A139" i="2"/>
  <c r="A118" i="2"/>
  <c r="A69" i="2"/>
  <c r="A72" i="2"/>
  <c r="A73" i="2"/>
  <c r="A74" i="2"/>
  <c r="A75" i="2"/>
  <c r="A93" i="2"/>
  <c r="A94" i="2"/>
  <c r="A37" i="2"/>
  <c r="A38" i="2"/>
  <c r="A39" i="2"/>
  <c r="A31" i="2"/>
  <c r="A23" i="2"/>
  <c r="A24" i="2"/>
  <c r="A25" i="2"/>
  <c r="A26" i="2"/>
  <c r="A27" i="2"/>
  <c r="A10" i="2"/>
  <c r="A11" i="2"/>
  <c r="A12" i="2"/>
  <c r="A13" i="2"/>
  <c r="A14" i="2"/>
  <c r="A3" i="2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A2" i="1"/>
  <c r="F32" i="7"/>
  <c r="F26" i="7"/>
  <c r="E235" i="7"/>
  <c r="F235" i="7"/>
  <c r="A77" i="4"/>
  <c r="A78" i="4"/>
  <c r="A79" i="4"/>
  <c r="A80" i="4"/>
  <c r="A81" i="4"/>
  <c r="A119" i="2"/>
  <c r="A120" i="2"/>
  <c r="A121" i="2"/>
  <c r="A122" i="2"/>
  <c r="A123" i="2"/>
  <c r="A124" i="2"/>
  <c r="A95" i="2"/>
  <c r="A96" i="2"/>
  <c r="A97" i="2"/>
  <c r="A98" i="2"/>
  <c r="A99" i="2"/>
  <c r="A100" i="2"/>
  <c r="A101" i="2"/>
  <c r="A102" i="2"/>
  <c r="A40" i="2"/>
  <c r="A41" i="2"/>
  <c r="A42" i="2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1" i="4"/>
  <c r="A13" i="4"/>
  <c r="A14" i="4"/>
  <c r="A15" i="4"/>
  <c r="A16" i="4"/>
  <c r="A17" i="4"/>
  <c r="F222" i="7"/>
  <c r="F47" i="7"/>
  <c r="A106" i="4"/>
  <c r="A107" i="4"/>
  <c r="A108" i="4"/>
  <c r="A109" i="4"/>
  <c r="A111" i="4"/>
  <c r="A112" i="4"/>
  <c r="A113" i="4"/>
  <c r="A114" i="4"/>
  <c r="A115" i="4"/>
  <c r="A116" i="4"/>
  <c r="A117" i="4"/>
  <c r="A77" i="2"/>
  <c r="A78" i="2"/>
  <c r="A79" i="2"/>
  <c r="A80" i="2"/>
  <c r="E234" i="7"/>
  <c r="F234" i="7"/>
  <c r="F225" i="7"/>
  <c r="F46" i="7"/>
  <c r="F49" i="7"/>
  <c r="F50" i="7"/>
  <c r="E89" i="7"/>
  <c r="F89" i="7"/>
  <c r="F91" i="7"/>
  <c r="E88" i="7"/>
  <c r="F88" i="7"/>
  <c r="F92" i="7"/>
  <c r="E237" i="7"/>
  <c r="F237" i="7"/>
  <c r="E330" i="7"/>
  <c r="E243" i="7"/>
  <c r="F243" i="7"/>
  <c r="E333" i="7"/>
  <c r="F330" i="7"/>
  <c r="E336" i="7"/>
  <c r="F336" i="7"/>
  <c r="F333" i="7"/>
  <c r="E339" i="7"/>
  <c r="F339" i="7"/>
  <c r="F236" i="7"/>
  <c r="F238" i="7"/>
  <c r="F223" i="7"/>
  <c r="F226" i="7"/>
  <c r="F241" i="7"/>
  <c r="F244" i="7"/>
  <c r="E332" i="7"/>
  <c r="E331" i="7"/>
  <c r="F332" i="7"/>
  <c r="E338" i="7"/>
  <c r="F338" i="7"/>
  <c r="F331" i="7"/>
  <c r="F334" i="7"/>
  <c r="E337" i="7"/>
  <c r="F337" i="7"/>
  <c r="F340" i="7"/>
  <c r="G139" i="4"/>
  <c r="G140" i="4"/>
  <c r="G141" i="4"/>
  <c r="I141" i="4"/>
  <c r="G306" i="2"/>
  <c r="G307" i="2"/>
  <c r="G308" i="2"/>
  <c r="I308" i="2"/>
  <c r="F16" i="3"/>
  <c r="F17" i="3"/>
  <c r="F24" i="1"/>
  <c r="F25" i="1"/>
  <c r="G17" i="3"/>
  <c r="G16" i="3"/>
</calcChain>
</file>

<file path=xl/sharedStrings.xml><?xml version="1.0" encoding="utf-8"?>
<sst xmlns="http://schemas.openxmlformats.org/spreadsheetml/2006/main" count="2042" uniqueCount="635">
  <si>
    <t>REKAP BILL OF QUANTITY</t>
  </si>
  <si>
    <t>No</t>
  </si>
  <si>
    <t>Pekerjaan</t>
  </si>
  <si>
    <t>Nilai Total (Rp)</t>
  </si>
  <si>
    <t>Sub Total 1</t>
  </si>
  <si>
    <t>Dibulatkan</t>
  </si>
  <si>
    <t>BILL OF ITEM</t>
  </si>
  <si>
    <t>Note :</t>
  </si>
  <si>
    <t xml:space="preserve">1. format penawaran harus memakai urutan &amp; BoI persis seperti di bawah ini. Apabila tidak, maka akan dikembalikan untuk dirubah kembali </t>
  </si>
  <si>
    <t>PEKERJAAN CLUBHOUSE + POOL</t>
  </si>
  <si>
    <t>2. apabila ingin menambahkan item baru yg tdk ada di BoI bisa d tambahkan ke baris pekerjaan lain-lain</t>
  </si>
  <si>
    <t>A. BANGUNAN CLUBHOUSE</t>
  </si>
  <si>
    <t>No.</t>
  </si>
  <si>
    <t>Spesifikasi</t>
  </si>
  <si>
    <t>Sat.</t>
  </si>
  <si>
    <t>Volume</t>
  </si>
  <si>
    <t>Harga Satuan (Rp.)</t>
  </si>
  <si>
    <t>Nilai Total (Rp.)</t>
  </si>
  <si>
    <t>I</t>
  </si>
  <si>
    <t>PEKERJAAN PERSIAPAN</t>
  </si>
  <si>
    <t>Pos kerja/gudang</t>
  </si>
  <si>
    <t>unit</t>
  </si>
  <si>
    <t>Pasang papan bowplank</t>
  </si>
  <si>
    <t>m'</t>
  </si>
  <si>
    <t xml:space="preserve">Air kerja </t>
  </si>
  <si>
    <t>ls</t>
  </si>
  <si>
    <t>Listrik kerja</t>
  </si>
  <si>
    <t>Kebersihan dan Keamanan</t>
  </si>
  <si>
    <t>Pagar seng</t>
  </si>
  <si>
    <t>Pekerjaan lain - lain  ( jika ada )</t>
  </si>
  <si>
    <t>……………………………………………………………………</t>
  </si>
  <si>
    <t>II</t>
  </si>
  <si>
    <t>PEKERJAAN TANAH</t>
  </si>
  <si>
    <t>Galian strauss ø 30 cm</t>
  </si>
  <si>
    <t>Potong kepala tiang pancang</t>
  </si>
  <si>
    <t>bh</t>
  </si>
  <si>
    <t>Galian untuk sloof &amp; poer</t>
  </si>
  <si>
    <t>m³</t>
  </si>
  <si>
    <t>Urug tanah kembali untuk sloof &amp; poer</t>
  </si>
  <si>
    <t>Plastik dibawah poer dan sloof</t>
  </si>
  <si>
    <t>m²</t>
  </si>
  <si>
    <t>Plastik bawah lantai</t>
  </si>
  <si>
    <t>Urug sirtu  t = 40 cm</t>
  </si>
  <si>
    <t>Mutu Beton K-225 &amp; Mutu Baja SNI</t>
  </si>
  <si>
    <t>III</t>
  </si>
  <si>
    <t>Lantai kerja poer dan sloof tebal 5cm</t>
  </si>
  <si>
    <t>Lantai kerja lantai tanpa wermes tebal 2-3 cm bawah poer &amp; sloof</t>
  </si>
  <si>
    <t>IV</t>
  </si>
  <si>
    <t>PEKERJAAN BETON LANTAI I</t>
  </si>
  <si>
    <t>Mutu Beton K-175 &amp; Mutu Baja SNI</t>
  </si>
  <si>
    <t>Meja washtafel</t>
  </si>
  <si>
    <t>V</t>
  </si>
  <si>
    <t>VI</t>
  </si>
  <si>
    <t>PEKERJAAN PASANGAN DAN PLESTERAN</t>
  </si>
  <si>
    <t>Pasangan bata ringan t = 12,5 cm [Batu Nol]</t>
  </si>
  <si>
    <t>ex. Blesscon/Focon</t>
  </si>
  <si>
    <t>Pasangan bata ringan t = 12,5 cm [lantai 1]</t>
  </si>
  <si>
    <t>Ex. Mortar Utama</t>
  </si>
  <si>
    <t>Plesteran + acian beton</t>
  </si>
  <si>
    <t>Benangan</t>
  </si>
  <si>
    <t>Plesteran + acian sisi samping kanan kiri dan belakang</t>
  </si>
  <si>
    <t>Waterproofing sisi samping kanan kiri dan belakang</t>
  </si>
  <si>
    <t>VII</t>
  </si>
  <si>
    <t>PEKERJAAN PELAPIS LANTAI DAN DINDING</t>
  </si>
  <si>
    <t>Lantai 1 (dasar)</t>
  </si>
  <si>
    <t>Lantai Utama / Hall</t>
  </si>
  <si>
    <t>Lantai KM/WC + Ruang Ganti</t>
  </si>
  <si>
    <t>Pool Deck</t>
  </si>
  <si>
    <t>VIII</t>
  </si>
  <si>
    <t>PEKERJAAN PLAFOND</t>
  </si>
  <si>
    <t>Plafond Gypsum 8 mm + Rangka Metal furing [Hall]</t>
  </si>
  <si>
    <t>Ex. Elephant</t>
  </si>
  <si>
    <t>Plafond Kalsiboard 4 mm + Rangka Metal furing  [eksterior+KM]</t>
  </si>
  <si>
    <t>Manhole Plafond</t>
  </si>
  <si>
    <t>Tali air Aluminium L uk. 1x1cm</t>
  </si>
  <si>
    <t>m</t>
  </si>
  <si>
    <t>IX</t>
  </si>
  <si>
    <t>PEKERJAAN PINTU DAN JENDELA</t>
  </si>
  <si>
    <t>m2</t>
  </si>
  <si>
    <t>X</t>
  </si>
  <si>
    <t>PEKERJAAN ATAP</t>
  </si>
  <si>
    <t>Ex. Sika</t>
  </si>
  <si>
    <t>Penutup Atap</t>
  </si>
  <si>
    <t>XI</t>
  </si>
  <si>
    <t>PEKERJAAN PENGECATAN</t>
  </si>
  <si>
    <t>Dinding Exterior :</t>
  </si>
  <si>
    <t>Dinding Exterior</t>
  </si>
  <si>
    <t>Plafon Overstek</t>
  </si>
  <si>
    <t>Dinding Interior :</t>
  </si>
  <si>
    <t xml:space="preserve">Dinding Interior  </t>
  </si>
  <si>
    <t>Plafond [hall + KM]</t>
  </si>
  <si>
    <t>XII</t>
  </si>
  <si>
    <t>PEKERJAAN SANITAIR</t>
  </si>
  <si>
    <t xml:space="preserve">Pipa PVC D Ø 6" </t>
  </si>
  <si>
    <t>ex. Wavin / Maspion</t>
  </si>
  <si>
    <t xml:space="preserve">Pipa PVC D Ø 4" </t>
  </si>
  <si>
    <t xml:space="preserve">Pipa PVC D Ø 3"  </t>
  </si>
  <si>
    <t xml:space="preserve">Pipa PVC D Ø 2 1/2"  </t>
  </si>
  <si>
    <t xml:space="preserve">Pipa PVC D Ø 3/4" </t>
  </si>
  <si>
    <t>Pipa PVC D Ø 11/4" pipa udara septictank</t>
  </si>
  <si>
    <t xml:space="preserve">Pipa PEX Ø20 mm </t>
  </si>
  <si>
    <t>ex. Westpex</t>
  </si>
  <si>
    <t xml:space="preserve">Pipa PEX Ø16 mm </t>
  </si>
  <si>
    <t xml:space="preserve">Pipa PEX Ø16 mm PPRC - Sparing pipa air panas </t>
  </si>
  <si>
    <t>ex. Westpex/Agrusan/setara</t>
  </si>
  <si>
    <t xml:space="preserve">Bak Kontrol </t>
  </si>
  <si>
    <t>Ex. Pancawira</t>
  </si>
  <si>
    <t xml:space="preserve">Monoblock </t>
  </si>
  <si>
    <t>Ex. TOTO CW660NJ</t>
  </si>
  <si>
    <t>Jet spray</t>
  </si>
  <si>
    <t>Shower</t>
  </si>
  <si>
    <t>Kran shower</t>
  </si>
  <si>
    <t xml:space="preserve">Wastafel  </t>
  </si>
  <si>
    <t>Ex. TOTO LW642 CJ</t>
  </si>
  <si>
    <t xml:space="preserve">Kran Wastafel   </t>
  </si>
  <si>
    <t>Ex. TOTO TX109 LD</t>
  </si>
  <si>
    <t>Soap holder coak</t>
  </si>
  <si>
    <t>Floor drain/avour</t>
  </si>
  <si>
    <t>Ex. TOTO TX1DBV1</t>
  </si>
  <si>
    <t>Grill Gutter Drain [area shower]</t>
  </si>
  <si>
    <t>Ex. Aplikator</t>
  </si>
  <si>
    <t>XIII</t>
  </si>
  <si>
    <t>PEKERJAAN LISTRIK</t>
  </si>
  <si>
    <t xml:space="preserve">Downlight 4" </t>
  </si>
  <si>
    <t>ex. Panasonic</t>
  </si>
  <si>
    <t xml:space="preserve">Bohlam lampu LED 5-8 Watt </t>
  </si>
  <si>
    <t>Ex. Osram/Phillips</t>
  </si>
  <si>
    <t xml:space="preserve">Instalasi titik lampu </t>
  </si>
  <si>
    <t>ttk</t>
  </si>
  <si>
    <t xml:space="preserve">Downlight tabung teras dag </t>
  </si>
  <si>
    <t>Sparing titik lampu sorot taman</t>
  </si>
  <si>
    <t>Lampu tabung 3"</t>
  </si>
  <si>
    <t>Instalasi titik lampu tabung 3"</t>
  </si>
  <si>
    <t>Lampu dinding</t>
  </si>
  <si>
    <t>Instalasi lampu dinding</t>
  </si>
  <si>
    <t>Panel box MCB - Transparan</t>
  </si>
  <si>
    <t>MCB ELCB 30Ma</t>
  </si>
  <si>
    <t>MCB 1P 6KA (20A, 10A, 6A)</t>
  </si>
  <si>
    <t xml:space="preserve">Saklar tunggal </t>
  </si>
  <si>
    <t xml:space="preserve">Saklar ganda </t>
  </si>
  <si>
    <t xml:space="preserve">Saklar hotel tunggal </t>
  </si>
  <si>
    <t xml:space="preserve">Stop Kontak </t>
  </si>
  <si>
    <t>Instalasi stop kontak</t>
  </si>
  <si>
    <t xml:space="preserve">Telephone Socket Outlet </t>
  </si>
  <si>
    <t xml:space="preserve">Antena Socket Outlet </t>
  </si>
  <si>
    <t>Kabel Power  NYY 4 x 6</t>
  </si>
  <si>
    <t>Ex. Supreme</t>
  </si>
  <si>
    <t>Instalasi AC</t>
  </si>
  <si>
    <t>Instalasi TV/Parabola</t>
  </si>
  <si>
    <t>Instalasi telepon</t>
  </si>
  <si>
    <t>Grounding 240cm Ø16mm, tembaga penghantar KBC 6mm2</t>
  </si>
  <si>
    <t>Doradus 3/4"</t>
  </si>
  <si>
    <t>Test nyala + gambar</t>
  </si>
  <si>
    <t>Power instalasi Hotel</t>
  </si>
  <si>
    <t>Sparing pipa pvc 3/4" dan 11/4" Maspion</t>
  </si>
  <si>
    <t>Sparing pipa refregerant + knie 2"</t>
  </si>
  <si>
    <t>Sparing dan drainase AC</t>
  </si>
  <si>
    <t>instalasi fotocell</t>
  </si>
  <si>
    <t>fotocell</t>
  </si>
  <si>
    <t>instalasi water heater</t>
  </si>
  <si>
    <t>Box panel data</t>
  </si>
  <si>
    <t>XIV</t>
  </si>
  <si>
    <t>PEKERJAAN LAIN - LAIN</t>
  </si>
  <si>
    <t>Box meter air &amp; listrik + bak sampah</t>
  </si>
  <si>
    <t>PEMBANGUNAN POOL</t>
  </si>
  <si>
    <t>B. POOL CLUBHOUSE</t>
  </si>
  <si>
    <t>3. Ada 2 BoI yaitu Bangunan utama &amp; pool nya</t>
  </si>
  <si>
    <t>Galian untuk sloof &amp; poer, balancing tank, pump room</t>
  </si>
  <si>
    <t>Buang tanah</t>
  </si>
  <si>
    <t>Urug limestone area Pump Room  t = 60 cm</t>
  </si>
  <si>
    <t>Pemadatan Baby Roller</t>
  </si>
  <si>
    <t>PEKERJAAN STRUKTUR</t>
  </si>
  <si>
    <t>Slab dasar kolam t=20cm - SL2</t>
  </si>
  <si>
    <t>Dinding Beton kolam t=20cm - WL1</t>
  </si>
  <si>
    <t xml:space="preserve">Pasangan bata ringan t = 10 cm </t>
  </si>
  <si>
    <t xml:space="preserve">Plesteran + acian  (Full System) </t>
  </si>
  <si>
    <t>Plesteran + acian (Full System) Ruang Pompa</t>
  </si>
  <si>
    <t>dinding kupingan batas kavling depan dan belakang</t>
  </si>
  <si>
    <t>Lantai Kolam Anak</t>
  </si>
  <si>
    <t>Lantai Kolam Besar</t>
  </si>
  <si>
    <t>Grouting</t>
  </si>
  <si>
    <t>Ex. MU warna abu-abu muda</t>
  </si>
  <si>
    <t>Besi siku setiap sudutan</t>
  </si>
  <si>
    <t>Cat Waterproofing Pump Room</t>
  </si>
  <si>
    <t>PEKERJAAN MEKANIKAL ELEKTRIKAL DAN TEST</t>
  </si>
  <si>
    <t>Skimmer Box</t>
  </si>
  <si>
    <t>Pompa sumpit otomatis</t>
  </si>
  <si>
    <t>Ex. GrundFos</t>
  </si>
  <si>
    <t>Supply Pasang Pipa distribusi AW</t>
  </si>
  <si>
    <t>inc. finish cat minyak</t>
  </si>
  <si>
    <t>Floating valve dia. 1"</t>
  </si>
  <si>
    <t>Ex. SAN EI</t>
  </si>
  <si>
    <t>Ex. Hayward</t>
  </si>
  <si>
    <t>Eyeball inlet + vacuum suction</t>
  </si>
  <si>
    <t>Spare PVC untuk inlet dan vacuum fitting</t>
  </si>
  <si>
    <t>Main Drain square uk. 30x30cm</t>
  </si>
  <si>
    <t>S-P Under Water Light (UWL) l/d trafo</t>
  </si>
  <si>
    <t>S-P Lampu FT LED Ruang Pompa</t>
  </si>
  <si>
    <t>S-P Power Outlet Ruang pompa</t>
  </si>
  <si>
    <t xml:space="preserve">Instalasi Kabel NYYHY </t>
  </si>
  <si>
    <t>Panel Box, MCB, Timer</t>
  </si>
  <si>
    <t>Penjernihan dan perawatan selama 6bulan</t>
  </si>
  <si>
    <t>Pembersihan ulang</t>
  </si>
  <si>
    <t>Tes commisioning</t>
  </si>
  <si>
    <t>by ABI</t>
  </si>
  <si>
    <t xml:space="preserve">Tes rendam </t>
  </si>
  <si>
    <t>Pengisian air pertama</t>
  </si>
  <si>
    <t>Tes Pemipaan 4,5bar 1x24jam</t>
  </si>
  <si>
    <t xml:space="preserve">Tes Tekan </t>
  </si>
  <si>
    <t>Tangga kolam</t>
  </si>
  <si>
    <t>Waterproofing + Screeding</t>
  </si>
  <si>
    <t>Ex. Weber Dry SS10</t>
  </si>
  <si>
    <t>Tangga monyet stainless lengkung</t>
  </si>
  <si>
    <t>Treatment penjernihan 6bulan</t>
  </si>
  <si>
    <t>Biaya pengujian, presentasi untuk subkon ABI</t>
  </si>
  <si>
    <t xml:space="preserve"> </t>
  </si>
  <si>
    <t>Roof Drain</t>
  </si>
  <si>
    <t>Gutter OverFlow ABS warna gelap/abu</t>
  </si>
  <si>
    <t>Drain Gutter</t>
  </si>
  <si>
    <t>Wall Inlet</t>
  </si>
  <si>
    <t>Vacuum inlet</t>
  </si>
  <si>
    <t>Circulation Pump 1Hp</t>
  </si>
  <si>
    <t>Circulation Pump 3HP</t>
  </si>
  <si>
    <t xml:space="preserve">Ex. Hayward </t>
  </si>
  <si>
    <t>Sand Filter - Pool Anak</t>
  </si>
  <si>
    <t>Sand Filter  - Main Pool</t>
  </si>
  <si>
    <t>Chemical Tank</t>
  </si>
  <si>
    <t>Dosing Pump</t>
  </si>
  <si>
    <t>Urinoir</t>
  </si>
  <si>
    <t>Ex. TOTO U57M</t>
  </si>
  <si>
    <t>District 9</t>
  </si>
  <si>
    <t>PEKERJAAN PONDASI &amp; SLOOF</t>
  </si>
  <si>
    <t>Poer PC.1</t>
  </si>
  <si>
    <t>Poer PC.1A</t>
  </si>
  <si>
    <t>Poer PC.1B</t>
  </si>
  <si>
    <t>Poer PC.2</t>
  </si>
  <si>
    <t>Poer PC.1M25</t>
  </si>
  <si>
    <t>Poer PC.2M25</t>
  </si>
  <si>
    <t>Sloof S40B-1</t>
  </si>
  <si>
    <t>Sloof S40B-4</t>
  </si>
  <si>
    <t>Sloof S40B-5A</t>
  </si>
  <si>
    <t>Sloof S40B-11D</t>
  </si>
  <si>
    <t>Sloof S40B-7D</t>
  </si>
  <si>
    <t>Sloof S40B-13B</t>
  </si>
  <si>
    <t>Sloof S40B-12B</t>
  </si>
  <si>
    <t>Sloof S40B-12F</t>
  </si>
  <si>
    <t>Sloof S40B-10E</t>
  </si>
  <si>
    <t>SSL -0.750</t>
  </si>
  <si>
    <t>SSL -0.050</t>
  </si>
  <si>
    <t>Sloof S50B-8A</t>
  </si>
  <si>
    <t>Sloof S40A-2</t>
  </si>
  <si>
    <t>Sloof S50B-7E</t>
  </si>
  <si>
    <t>Sloof S30A</t>
  </si>
  <si>
    <t>Sloof S40A-1</t>
  </si>
  <si>
    <t>Sloof S40B-7</t>
  </si>
  <si>
    <t>Sloof S50B-7A</t>
  </si>
  <si>
    <t>Sloof S50B-10E</t>
  </si>
  <si>
    <t>PONDASI &amp; SLOOF SSL -1.400</t>
  </si>
  <si>
    <t>PONDASI &amp; SLOOF SSL -0.6500</t>
  </si>
  <si>
    <t xml:space="preserve">KOLOM </t>
  </si>
  <si>
    <t>KOLOM PLANTER SSL -0.075</t>
  </si>
  <si>
    <t>Kolom K6</t>
  </si>
  <si>
    <t>Kolom K4</t>
  </si>
  <si>
    <t>KOLOM PLANTER SSL -0.050</t>
  </si>
  <si>
    <t>Kolom KP</t>
  </si>
  <si>
    <t>Kolom C35</t>
  </si>
  <si>
    <t>Kolom K1A5</t>
  </si>
  <si>
    <t>BALOK SSL +3.900</t>
  </si>
  <si>
    <t>Balok B40</t>
  </si>
  <si>
    <t>Balok B40-1</t>
  </si>
  <si>
    <t>Balok B30</t>
  </si>
  <si>
    <t>Balok B30-4</t>
  </si>
  <si>
    <t>Balok B30-7</t>
  </si>
  <si>
    <t>Balok B30-4A</t>
  </si>
  <si>
    <t>Balok B30E-1</t>
  </si>
  <si>
    <t>Balok B30E-2</t>
  </si>
  <si>
    <t>Balok B40-5</t>
  </si>
  <si>
    <t>Balok B20</t>
  </si>
  <si>
    <t>Plat S1</t>
  </si>
  <si>
    <t>Plat S2</t>
  </si>
  <si>
    <t>Plat S3</t>
  </si>
  <si>
    <t>PLAT</t>
  </si>
  <si>
    <t>PEKERJAAN BETON LANTAI ATAP</t>
  </si>
  <si>
    <t>UNP100</t>
  </si>
  <si>
    <t>Ikatan Angin dia. 12mm</t>
  </si>
  <si>
    <t>CNP 150.50.20.2,3</t>
  </si>
  <si>
    <t>Sagrod dia. 12mm</t>
  </si>
  <si>
    <t>WF200.100.5,5.8</t>
  </si>
  <si>
    <t>WF300.150.6,5.9</t>
  </si>
  <si>
    <t>kg</t>
  </si>
  <si>
    <t>Pasangan bata ringan t = 10 cm [sisi pintu KM]</t>
  </si>
  <si>
    <t>ex. GE/Focon</t>
  </si>
  <si>
    <t xml:space="preserve">Talang </t>
  </si>
  <si>
    <t>BETON SLAB + DINDING</t>
  </si>
  <si>
    <t>Ex. Roman GT12625000CR d'Rinjani Bone</t>
  </si>
  <si>
    <t>Ex. Portino PB501 uk. 30x60cm</t>
  </si>
  <si>
    <t>Ex. Valentino Gress Norway Coffee 15x90cm</t>
  </si>
  <si>
    <t>Ex. Kuda laut Mossaic Tile SQM MIX 542SN</t>
  </si>
  <si>
    <t>Dinding Eksterior Kolam Renang</t>
  </si>
  <si>
    <t>Ex. Niro Murale - Quarry Grey / Caviar Black</t>
  </si>
  <si>
    <t>Dinding Eksterior Teras</t>
  </si>
  <si>
    <t>Ex. Niro GCA05 - Slate</t>
  </si>
  <si>
    <t>Dinding Interior Lounge</t>
  </si>
  <si>
    <t>J1</t>
  </si>
  <si>
    <t>P.BS.2 [Pintu Utama Belakang ]</t>
  </si>
  <si>
    <t>P.BS.1 [Pintu Utama Depan]</t>
  </si>
  <si>
    <t>J.FR.1 [Tampak Depan]</t>
  </si>
  <si>
    <t>Ex. Phenolit Cubicle</t>
  </si>
  <si>
    <t>P1</t>
  </si>
  <si>
    <t>sesuai spek</t>
  </si>
  <si>
    <t>Loker</t>
  </si>
  <si>
    <t>Ex. Gunung Garuda</t>
  </si>
  <si>
    <t>Rangka Atap :</t>
  </si>
  <si>
    <t>Ex, UtomoDeck U1040B+PE color Grey</t>
  </si>
  <si>
    <t>Frame Penutup Atap</t>
  </si>
  <si>
    <t>UNP200.100.5,5.8</t>
  </si>
  <si>
    <t xml:space="preserve">Waterproofing dag beton </t>
  </si>
  <si>
    <t xml:space="preserve">Waterproofing tembok </t>
  </si>
  <si>
    <t>Ex. Duma sesuai spek incl Acc</t>
  </si>
  <si>
    <t>ex. Propan sesuai spek</t>
  </si>
  <si>
    <t>Plint lantai aluminium 3x1</t>
  </si>
  <si>
    <t xml:space="preserve">Septictank 1000 liter </t>
  </si>
  <si>
    <t xml:space="preserve">KAMAR MANDI </t>
  </si>
  <si>
    <t>Ex. TOTO THX20MCRB</t>
  </si>
  <si>
    <t>Ex. TOTO TX423MEB</t>
  </si>
  <si>
    <t>Ex. TOTO THX48ZB</t>
  </si>
  <si>
    <t>Kran Taman &amp; Janitor</t>
  </si>
  <si>
    <t>ex. Schneider Clipsal tipe PIENO</t>
  </si>
  <si>
    <t>Kabel Tray - Kabel CCTV [sesuai spek]</t>
  </si>
  <si>
    <t>Keramik R. Pompa</t>
  </si>
  <si>
    <t xml:space="preserve">Para - Para Multifunction Room </t>
  </si>
  <si>
    <t>Ex. GRM Wall Panel WP60008 color teak</t>
  </si>
  <si>
    <t>P2</t>
  </si>
  <si>
    <t>P3</t>
  </si>
  <si>
    <t>BATA RINGAN</t>
  </si>
  <si>
    <t>MU</t>
  </si>
  <si>
    <t>VAL GRESS</t>
  </si>
  <si>
    <t>NIRO</t>
  </si>
  <si>
    <t>PROPAN</t>
  </si>
  <si>
    <t>UTOMO DECK</t>
  </si>
  <si>
    <t>ANALISA HARGA SATUAN</t>
  </si>
  <si>
    <t>PROYEK : CLUB HOUSE</t>
  </si>
  <si>
    <t>CITRALAND DISTRICT 9</t>
  </si>
  <si>
    <t xml:space="preserve">No. </t>
  </si>
  <si>
    <t>URAIAN      PEKERJAAN</t>
  </si>
  <si>
    <t>Sat</t>
  </si>
  <si>
    <t>Harga Sat.</t>
  </si>
  <si>
    <t>Jumlah harga</t>
  </si>
  <si>
    <t>(Rp.)</t>
  </si>
  <si>
    <t xml:space="preserve"> Bouwplank &amp; Uitzet</t>
  </si>
  <si>
    <t>m¹</t>
  </si>
  <si>
    <t xml:space="preserve"> - Papan = 50%</t>
  </si>
  <si>
    <t xml:space="preserve"> - Usuk = 50 %</t>
  </si>
  <si>
    <t xml:space="preserve"> - Paku</t>
  </si>
  <si>
    <t xml:space="preserve"> - Upah kerja</t>
  </si>
  <si>
    <t>Total</t>
  </si>
  <si>
    <t xml:space="preserve"> Beton K 225 ( 1 : 2 : 3 ) Site Mix</t>
  </si>
  <si>
    <t xml:space="preserve"> - Semen</t>
  </si>
  <si>
    <t xml:space="preserve"> - Pasir</t>
  </si>
  <si>
    <t xml:space="preserve"> - Stenslag 1/2</t>
  </si>
  <si>
    <t xml:space="preserve"> - Alat kerja</t>
  </si>
  <si>
    <t xml:space="preserve"> Beton  B0</t>
  </si>
  <si>
    <t xml:space="preserve"> - Beton Ready Mix B0 </t>
  </si>
  <si>
    <t xml:space="preserve"> - Beton Ready Mix </t>
  </si>
  <si>
    <t xml:space="preserve"> - CP</t>
  </si>
  <si>
    <t xml:space="preserve"> Beton Rabat 1 : 3 : 5</t>
  </si>
  <si>
    <t xml:space="preserve"> - Stenslag 2/3</t>
  </si>
  <si>
    <t xml:space="preserve"> Bekisting  Sloof/ Kolom Praktis</t>
  </si>
  <si>
    <t xml:space="preserve"> - Multipleks 9 mm = 50 %</t>
  </si>
  <si>
    <t>lbr</t>
  </si>
  <si>
    <t xml:space="preserve"> - Kayu = 50 %</t>
  </si>
  <si>
    <t xml:space="preserve"> - Paku </t>
  </si>
  <si>
    <t xml:space="preserve"> Bekisting Balok / Kolom Struktur</t>
  </si>
  <si>
    <t xml:space="preserve"> Bekisting Plat Beton </t>
  </si>
  <si>
    <t xml:space="preserve"> - Plastik cor</t>
  </si>
  <si>
    <t xml:space="preserve"> Besi Beton Polos &gt;6mm</t>
  </si>
  <si>
    <t xml:space="preserve"> - Besi beton</t>
  </si>
  <si>
    <t xml:space="preserve"> - Kawat bendrat</t>
  </si>
  <si>
    <t xml:space="preserve"> Besi Beton Polos =6mm</t>
  </si>
  <si>
    <t xml:space="preserve"> Besi Beton Ulir </t>
  </si>
  <si>
    <t xml:space="preserve"> Urug sirtu bangunan </t>
  </si>
  <si>
    <t xml:space="preserve"> - Sirtu </t>
  </si>
  <si>
    <t xml:space="preserve"> - Pemadatan ( siram air )</t>
  </si>
  <si>
    <t xml:space="preserve"> - Upah kerja </t>
  </si>
  <si>
    <t xml:space="preserve"> Plastik di bawah Pondasi</t>
  </si>
  <si>
    <t xml:space="preserve"> - Plastik 0.5</t>
  </si>
  <si>
    <t xml:space="preserve"> - Upah</t>
  </si>
  <si>
    <t xml:space="preserve"> Pasangan bata ringan   t=12.5cm</t>
  </si>
  <si>
    <t xml:space="preserve"> - Bata ringan GE</t>
  </si>
  <si>
    <t xml:space="preserve"> - MU 382   t=3mm</t>
  </si>
  <si>
    <t xml:space="preserve"> Plesteran 1 : 5</t>
  </si>
  <si>
    <t xml:space="preserve"> - Acian </t>
  </si>
  <si>
    <t xml:space="preserve"> Plesteran  </t>
  </si>
  <si>
    <t xml:space="preserve"> - Mortar  MU 302</t>
  </si>
  <si>
    <t xml:space="preserve"> Benangan</t>
  </si>
  <si>
    <t xml:space="preserve"> - Mortar  MU 202</t>
  </si>
  <si>
    <t xml:space="preserve"> Acian  Plesteran</t>
  </si>
  <si>
    <t xml:space="preserve"> - Mortar  MU 250</t>
  </si>
  <si>
    <t xml:space="preserve"> Acian  beton</t>
  </si>
  <si>
    <t xml:space="preserve"> Upah + spesi keramik lantai </t>
  </si>
  <si>
    <t xml:space="preserve"> - Semen MU 422</t>
  </si>
  <si>
    <t xml:space="preserve"> - Semen warna</t>
  </si>
  <si>
    <t xml:space="preserve"> - Alat kerja </t>
  </si>
  <si>
    <t xml:space="preserve"> Plafond Metal Furing + Gypsum 9mm</t>
  </si>
  <si>
    <t xml:space="preserve"> - Rangka Metal Furing</t>
  </si>
  <si>
    <t xml:space="preserve"> - Gypsum 9 mm</t>
  </si>
  <si>
    <t xml:space="preserve"> Plafond Metal Furing + Gypsumd  MR</t>
  </si>
  <si>
    <t xml:space="preserve"> - Gypsumd MR</t>
  </si>
  <si>
    <t xml:space="preserve"> Upah + spesi keramik dinding </t>
  </si>
  <si>
    <t xml:space="preserve"> Spesi dinding batu </t>
  </si>
  <si>
    <t xml:space="preserve"> - Semen MU 402</t>
  </si>
  <si>
    <t xml:space="preserve"> Waterproofing Sika Top 107</t>
  </si>
  <si>
    <t xml:space="preserve"> - Waterproofing</t>
  </si>
  <si>
    <t xml:space="preserve"> Cat Exterior </t>
  </si>
  <si>
    <t xml:space="preserve"> - Kertas gosok</t>
  </si>
  <si>
    <t xml:space="preserve"> - Undercoat </t>
  </si>
  <si>
    <t>ltr</t>
  </si>
  <si>
    <t xml:space="preserve"> - Plamur Alkaplast</t>
  </si>
  <si>
    <t xml:space="preserve"> - Roll</t>
  </si>
  <si>
    <t xml:space="preserve"> Cat  Plafond</t>
  </si>
  <si>
    <t xml:space="preserve"> - Undercoat / Alkali</t>
  </si>
  <si>
    <t xml:space="preserve"> - Plamur</t>
  </si>
  <si>
    <t xml:space="preserve"> Cat Interior </t>
  </si>
  <si>
    <t xml:space="preserve"> Benangan Tali air aluminium Kaca</t>
  </si>
  <si>
    <t xml:space="preserve"> - Aluminium U 5/8</t>
  </si>
  <si>
    <t xml:space="preserve"> - Silent kaca</t>
  </si>
  <si>
    <t xml:space="preserve"> Benangan Tali air aluminium</t>
  </si>
  <si>
    <t xml:space="preserve"> - Aluminium U 3/4 (2 cm)</t>
  </si>
  <si>
    <t xml:space="preserve"> - Aluminium U 3/8</t>
  </si>
  <si>
    <t>List plafond alumunium</t>
  </si>
  <si>
    <t xml:space="preserve"> - Aluminium L 1X1cm</t>
  </si>
  <si>
    <t xml:space="preserve"> Upah + spesi Granit lantai </t>
  </si>
  <si>
    <t xml:space="preserve"> - Semen MU 450</t>
  </si>
  <si>
    <t xml:space="preserve"> - Nat AM Grout 50</t>
  </si>
  <si>
    <t xml:space="preserve"> Benangan plint lantai aluminium</t>
  </si>
  <si>
    <t xml:space="preserve"> - Aluminium L 1x3 cm</t>
  </si>
  <si>
    <t>m '</t>
  </si>
  <si>
    <t xml:space="preserve">     CV Tirta Kusuma</t>
  </si>
  <si>
    <t xml:space="preserve"> Kiantoro Tirtawardhana</t>
  </si>
  <si>
    <t>ANALISA BETON</t>
  </si>
  <si>
    <t xml:space="preserve">PROYEK : CLUB HOUSE </t>
  </si>
  <si>
    <t>LOKASI  : DISTRICT 9</t>
  </si>
  <si>
    <t>Total Harga</t>
  </si>
  <si>
    <t>Sloof  S.30A (15x30)</t>
  </si>
  <si>
    <t>Cor beton Ready Mix</t>
  </si>
  <si>
    <t>Besi D10</t>
  </si>
  <si>
    <t>Besi Ø8</t>
  </si>
  <si>
    <t>Bekisting</t>
  </si>
  <si>
    <t xml:space="preserve">Total </t>
  </si>
  <si>
    <t>Sloof  S.30A-1 (15x30)</t>
  </si>
  <si>
    <t>Besi D13</t>
  </si>
  <si>
    <t>Sloof  S.40C-1 (25x40)</t>
  </si>
  <si>
    <t>Sloof  S,40A (15x40)</t>
  </si>
  <si>
    <t>Sloof  S,40A-1 (15x40)</t>
  </si>
  <si>
    <t>Sloof  S,40A-2 (15x40)</t>
  </si>
  <si>
    <t>Sloof  S,40A-7E (15x40)</t>
  </si>
  <si>
    <t>Sloof  S,40B-1 (20x40)</t>
  </si>
  <si>
    <t xml:space="preserve">Sloof  S,40B-2 (20x40) </t>
  </si>
  <si>
    <t>Sloof  S,40B-4 (20x40)</t>
  </si>
  <si>
    <t>Sloof  S,40B-5A (20x40)</t>
  </si>
  <si>
    <t xml:space="preserve">Sloof  S,40B-7 (20x40) </t>
  </si>
  <si>
    <t xml:space="preserve">Sloof  S,40B-7D (20x40) </t>
  </si>
  <si>
    <t xml:space="preserve">Sloof  S,40B-8 (20x40) </t>
  </si>
  <si>
    <t xml:space="preserve">Sloof  S,40B-9 (20x40) </t>
  </si>
  <si>
    <t xml:space="preserve">Sloof  S,50B-7A (20x50) </t>
  </si>
  <si>
    <t xml:space="preserve">Sloof  S,50B-7E (20x50) </t>
  </si>
  <si>
    <t xml:space="preserve">Sloof  S,50B-8A (20x50) </t>
  </si>
  <si>
    <t xml:space="preserve">Sloof  S,50B-9E (20x50) </t>
  </si>
  <si>
    <t xml:space="preserve">Sloof  S,50B-10E (20x50) </t>
  </si>
  <si>
    <t>Pile Cap  PC-1=PC-1A (50x50x40)</t>
  </si>
  <si>
    <t xml:space="preserve">Bekisting </t>
  </si>
  <si>
    <t>Pile Cap  PC-1B (85x50x40)</t>
  </si>
  <si>
    <t>Pile Cap  PC-2 (100x50x50)</t>
  </si>
  <si>
    <t>Besi D16</t>
  </si>
  <si>
    <t>Kolom Kp (13x13)</t>
  </si>
  <si>
    <t xml:space="preserve">Cor beton </t>
  </si>
  <si>
    <t>Kolom K40  (13x40)</t>
  </si>
  <si>
    <t>Kolom K80  (13x80)</t>
  </si>
  <si>
    <t>Kolom K50A  (15x50)</t>
  </si>
  <si>
    <t>Kolom K30B  (20x30)</t>
  </si>
  <si>
    <r>
      <t>Kolom C35  (</t>
    </r>
    <r>
      <rPr>
        <b/>
        <sz val="10"/>
        <rFont val="Arial"/>
        <family val="2"/>
      </rPr>
      <t>Ø</t>
    </r>
    <r>
      <rPr>
        <b/>
        <i/>
        <sz val="10"/>
        <rFont val="Arial"/>
        <family val="2"/>
      </rPr>
      <t>35)</t>
    </r>
  </si>
  <si>
    <t>Beton Ring Balok BR (13x15)</t>
  </si>
  <si>
    <t>Beton Ring Balok Latei (13x15)</t>
  </si>
  <si>
    <t>Besi Ø6</t>
  </si>
  <si>
    <t>Beton  Balok B20  (13x20)</t>
  </si>
  <si>
    <t>Beton  Balok B20-1  (13x20)</t>
  </si>
  <si>
    <t>Beton  Balok B30  (13x30)</t>
  </si>
  <si>
    <t>Beton  Balok B30-1  (13x30)</t>
  </si>
  <si>
    <t>Beton  Balok B30-2  (13x30)</t>
  </si>
  <si>
    <t>Beton  Balok B30-4  (13x30)</t>
  </si>
  <si>
    <t>Beton  Balok B30-7  (13x30)</t>
  </si>
  <si>
    <t>Beton  Balok B40  (13x40)</t>
  </si>
  <si>
    <t>Beton  Balok B40-1  (13x40)</t>
  </si>
  <si>
    <t>Beton  Balok B40-1A  (13x40)</t>
  </si>
  <si>
    <t>Beton  Balok B40-5  (13x40)</t>
  </si>
  <si>
    <t>Beton  Balok B30B-1  (20x30)</t>
  </si>
  <si>
    <t>Beton  Balok B30B-1A  (20x30)</t>
  </si>
  <si>
    <t>Beton  Balok B30B-4A  (20x30)</t>
  </si>
  <si>
    <t>Beton  Balok B30B-7  (20x30)</t>
  </si>
  <si>
    <t>Beton  Balok B30E-1  (35x30)</t>
  </si>
  <si>
    <t>Beton  Balok B30E-2  (35x30)</t>
  </si>
  <si>
    <t>Beton  Balok B40E-1  (35x40)</t>
  </si>
  <si>
    <t xml:space="preserve">Plat ( S1 ) t=10 cm </t>
  </si>
  <si>
    <t xml:space="preserve">Plat ( S2 ) t=15 cm </t>
  </si>
  <si>
    <t>ANALISA  KUSEN</t>
  </si>
  <si>
    <t>no</t>
  </si>
  <si>
    <t>uraian - Pekerjaan</t>
  </si>
  <si>
    <t>vol</t>
  </si>
  <si>
    <t>Harga Sat</t>
  </si>
  <si>
    <t>psg</t>
  </si>
  <si>
    <t>- Upah pasang kusen + pintu</t>
  </si>
  <si>
    <t>Jumlah</t>
  </si>
  <si>
    <t>- Kusen  Kayu  ENGINEERING DOOR   dan</t>
  </si>
  <si>
    <t>set</t>
  </si>
  <si>
    <t xml:space="preserve"> - Cat Decorshield</t>
  </si>
  <si>
    <t>Sloof S40B-7 SSL -0,750</t>
  </si>
  <si>
    <t>Sloof S40B-2 SSL -0,750</t>
  </si>
  <si>
    <t>Sloof S40B-8 SSL -0,050</t>
  </si>
  <si>
    <t>Sloof S40B-9 SSL -0,050</t>
  </si>
  <si>
    <t>Sloof S50B-9 SSL -0,050</t>
  </si>
  <si>
    <t>Sloof S30A-1 SSL -0,050</t>
  </si>
  <si>
    <t>Sloof S40A-10E SSL -1,400</t>
  </si>
  <si>
    <t>Bekisting Bata Ringan t=75</t>
  </si>
  <si>
    <t xml:space="preserve"> Pasangan bata ringan   t=7.5cm</t>
  </si>
  <si>
    <t>Kolom C35 SSL -0,075</t>
  </si>
  <si>
    <t>Kolom K8 SSL -0,075</t>
  </si>
  <si>
    <t>Kolom K8 SSL -0,050</t>
  </si>
  <si>
    <t>Balok B30B-1</t>
  </si>
  <si>
    <t>Balok B20-1</t>
  </si>
  <si>
    <t>Balok B30B-4A</t>
  </si>
  <si>
    <t>Balok B30B-1A</t>
  </si>
  <si>
    <t>Balok B40-1A</t>
  </si>
  <si>
    <t>Balok B30-2</t>
  </si>
  <si>
    <t>Balok B40E-1</t>
  </si>
  <si>
    <t>Balok B30-1</t>
  </si>
  <si>
    <t>Pekerjaan Tangga Depan</t>
  </si>
  <si>
    <t>Tangga depan</t>
  </si>
  <si>
    <t>Meja wastafel</t>
  </si>
  <si>
    <t>Dinding Kolam W.150</t>
  </si>
  <si>
    <t>Tangga Kolam</t>
  </si>
  <si>
    <t>Pekerjaan Dinding Planter W.120</t>
  </si>
  <si>
    <t>Dinding Planter W,120</t>
  </si>
  <si>
    <t>m3</t>
  </si>
  <si>
    <t>Trap Tangga Bata</t>
  </si>
  <si>
    <t>Pasangan Dinding Bata Dobel R Lounge dan Multifunction</t>
  </si>
  <si>
    <t>Listrik Kerja</t>
  </si>
  <si>
    <t>LS</t>
  </si>
  <si>
    <t>Shop Drawing dan As build Drawing</t>
  </si>
  <si>
    <t>Bench Lounge</t>
  </si>
  <si>
    <t>Lantai Tangga Samping Kolam</t>
  </si>
  <si>
    <t>Circulation Pump 2Hp</t>
  </si>
  <si>
    <t>Cleaning tool set, hose 15m</t>
  </si>
  <si>
    <t>Dinding KM</t>
  </si>
  <si>
    <t>S4502-Y D9SB (PT-1). Utk Eksterior Evening Sky D9SB (PT-2)</t>
  </si>
  <si>
    <t>Skylight Multifunction room</t>
  </si>
  <si>
    <t>Balok Janggutan</t>
  </si>
  <si>
    <t>Balok Janggutan 8/20</t>
  </si>
  <si>
    <t>Pagar Seng gelombang</t>
  </si>
  <si>
    <t xml:space="preserve"> - Kayu Usuk</t>
  </si>
  <si>
    <t xml:space="preserve"> - Seng gelombang t = 0,2, tinggi 2,4 m</t>
  </si>
  <si>
    <t xml:space="preserve"> - Paku seng</t>
  </si>
  <si>
    <t xml:space="preserve"> - Cat </t>
  </si>
  <si>
    <t xml:space="preserve"> Pasangan bata ringan   t=10cm</t>
  </si>
  <si>
    <t>instalasi lampu spot +conduit</t>
  </si>
  <si>
    <t>Lampu spot</t>
  </si>
  <si>
    <t>sparing SR listrik pipa AW 2in</t>
  </si>
  <si>
    <t>Lampu taman</t>
  </si>
  <si>
    <t>Instalasi lampu LED strip</t>
  </si>
  <si>
    <t>Lampu LED strip</t>
  </si>
  <si>
    <t>Instalasi kabel data CAT 6 A + conduit</t>
  </si>
  <si>
    <t>outlet stop kontak lantai</t>
  </si>
  <si>
    <t>Outlet data</t>
  </si>
  <si>
    <t>MCB 25A 1P</t>
  </si>
  <si>
    <t>ELCB 25A</t>
  </si>
  <si>
    <t xml:space="preserve"> test nyala</t>
  </si>
  <si>
    <t>test grounding</t>
  </si>
  <si>
    <t>instalasi titik lampu Kolam +conduit</t>
  </si>
  <si>
    <t>Penutup Dinding Multifunction Room GRM</t>
  </si>
  <si>
    <t>Avour Lantai Luar</t>
  </si>
  <si>
    <t>Pintu type P2</t>
  </si>
  <si>
    <t>Pintu type P3</t>
  </si>
  <si>
    <t xml:space="preserve"> Surabaya, 3  September 2024</t>
  </si>
  <si>
    <t>- Daun pintu ex. Duma</t>
  </si>
  <si>
    <t>- Kusen + Daun pintu ex. Duma</t>
  </si>
  <si>
    <t>LC DKS IL 8485 SN +TC 60 SN</t>
  </si>
  <si>
    <t>Engsel Pintu DKS Ecoline 4x3x3 4BB SS</t>
  </si>
  <si>
    <t>Liver Handle HRE DKS 039 SS Tube</t>
  </si>
  <si>
    <t>Door Stoper DKS DS 002 SS</t>
  </si>
  <si>
    <t>Pasang Baut Angkur D16 L 730mm</t>
  </si>
  <si>
    <t>Pengisian Air ke-dua setelah tes commisioning</t>
  </si>
  <si>
    <t>Lantai Kolam Plat S3</t>
  </si>
  <si>
    <t>Ball valve 1/2"</t>
  </si>
  <si>
    <t>Female elbow 16x1/2 expander coper</t>
  </si>
  <si>
    <t>Tes tekan dan fungsi</t>
  </si>
  <si>
    <t>Sambung meteran PDAM</t>
  </si>
  <si>
    <t>Tandon Air Bawah 2m3</t>
  </si>
  <si>
    <t>Pompa air  PS-230 ex.Shimizu</t>
  </si>
  <si>
    <t>Profit</t>
  </si>
  <si>
    <t>Sub Total 2</t>
  </si>
  <si>
    <t>Buang tanah sisa galian</t>
  </si>
  <si>
    <t>As build Drawing</t>
  </si>
  <si>
    <t xml:space="preserve">Mob demob </t>
  </si>
  <si>
    <t>Galian Tanah</t>
  </si>
  <si>
    <t>Sloof  S,40A-10E (15x40) (K-350 Integral)</t>
  </si>
  <si>
    <t>Sloof  S,40B-7D (20x40) (K-350 Integral)</t>
  </si>
  <si>
    <t>Sloof  S,40B-11D (20x40) (K-350 Integral)</t>
  </si>
  <si>
    <t>Sloof  S,40B-12B (20x40) (K-350 Integral)</t>
  </si>
  <si>
    <t>Sloof  S,40B-12F (20x40) (K-350 Integral)</t>
  </si>
  <si>
    <t>Sloof  S,40B-13B (20x40) (K-350 Integral)</t>
  </si>
  <si>
    <t>Pile Cap  PC-1M25 (75x75x60) (K-350 Integral)</t>
  </si>
  <si>
    <t>Pile Cap  PC-2M25 (150x75x60) (K-350 Integral)</t>
  </si>
  <si>
    <t>Plat ( S3A ) t=15 cm (K-350 Integral)</t>
  </si>
  <si>
    <t>Dinding Kolam W,150 (K-350 Integral)</t>
  </si>
  <si>
    <t>Tangga Kolam (K-350 Integral)</t>
  </si>
  <si>
    <t>Note :  mutu beton integral minimal K350</t>
  </si>
  <si>
    <t xml:space="preserve"> Beton K 350 1:1 Integral Ready Mix (dengan CP)</t>
  </si>
  <si>
    <t xml:space="preserve"> Beton K 225 1:1 Ready Mix (tanpa CP)</t>
  </si>
  <si>
    <t xml:space="preserve"> Beton K 225 1:1 Ready Mix (dengan CP)</t>
  </si>
  <si>
    <t>Mutu Beton K-350 &amp; Mutu Baja SNI</t>
  </si>
  <si>
    <t>Lantai kerja bawah lantai 5 cm</t>
  </si>
  <si>
    <t>Plat Besi 4mm Bench fin. Cat diganti cor Wiremess M6 1 lapis t = 7 cm</t>
  </si>
  <si>
    <t>Wiremesh M-6</t>
  </si>
  <si>
    <r>
      <t>m</t>
    </r>
    <r>
      <rPr>
        <i/>
        <sz val="10"/>
        <rFont val="Calibri"/>
        <family val="2"/>
      </rPr>
      <t>²</t>
    </r>
  </si>
  <si>
    <t>Beton plat Bench  t=7cm</t>
  </si>
  <si>
    <t>Plesteran+ acian</t>
  </si>
  <si>
    <t>Finishing cat</t>
  </si>
  <si>
    <t>Tali air 1,5 cm</t>
  </si>
  <si>
    <t xml:space="preserve">Waterproofing pasangan Granit </t>
  </si>
  <si>
    <t>Lantai tempat berjemur</t>
  </si>
  <si>
    <t xml:space="preserve"> ( diganti tipe CL )</t>
  </si>
  <si>
    <t>Finihing plenter</t>
  </si>
  <si>
    <t>Niro GBP05 60x60</t>
  </si>
  <si>
    <t>Urug sirtu 50 cm</t>
  </si>
  <si>
    <t>Cor trap tangga kolam anak</t>
  </si>
  <si>
    <t>Pembuangan air Pipa 4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</si>
</sst>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0_);_(* \(#,##0.000\);_(* &quot;-&quot;??_);_(@_)"/>
    <numFmt numFmtId="168" formatCode="_(* #,##0.00000_);_(* \(#,##0.00000\);_(* &quot;-&quot;??_);_(@_)"/>
    <numFmt numFmtId="169" formatCode="_(* #,##0.000000_);_(* \(#,##0.000000\);_(* &quot;-&quot;??_);_(@_)"/>
    <numFmt numFmtId="170" formatCode="_(* #,##0.0000_);_(* \(#,##0.0000\);_(* &quot;-&quot;??_);_(@_)"/>
    <numFmt numFmtId="171" formatCode="#,##0.000_);\(#,##0.000\)"/>
    <numFmt numFmtId="172" formatCode="#,##0.00\ ;&quot; (&quot;#,##0.00\);&quot; -&quot;#\ ;@\ "/>
    <numFmt numFmtId="173" formatCode="#,##0\ ;&quot; (&quot;#,##0\);&quot; -&quot;#\ ;@\ "/>
    <numFmt numFmtId="174" formatCode="0.0000"/>
    <numFmt numFmtId="175" formatCode="_(* #,##0.000_);_(* \(#,##0.000\);_(* &quot;-&quot;???_);_(@_)"/>
  </numFmts>
  <fonts count="7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4"/>
      <name val="Tahoma"/>
      <family val="2"/>
    </font>
    <font>
      <b/>
      <u/>
      <sz val="9"/>
      <name val="Tahoma"/>
      <family val="2"/>
    </font>
    <font>
      <b/>
      <i/>
      <sz val="8"/>
      <color rgb="FFFF0000"/>
      <name val="Tahoma"/>
      <family val="2"/>
    </font>
    <font>
      <b/>
      <u/>
      <sz val="14"/>
      <name val="Tahoma"/>
      <family val="2"/>
    </font>
    <font>
      <b/>
      <u/>
      <sz val="10"/>
      <name val="Tahoma"/>
      <family val="2"/>
    </font>
    <font>
      <sz val="10"/>
      <color rgb="FFFF0000"/>
      <name val="Tahoma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color indexed="8"/>
      <name val="Tahoma"/>
      <family val="2"/>
    </font>
    <font>
      <sz val="9"/>
      <color rgb="FFFF0000"/>
      <name val="Tahoma"/>
      <family val="2"/>
    </font>
    <font>
      <b/>
      <i/>
      <sz val="9"/>
      <name val="Tahom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lbertus Medium"/>
    </font>
    <font>
      <sz val="8.5"/>
      <name val="Albertus Medium"/>
      <family val="2"/>
    </font>
    <font>
      <i/>
      <sz val="8.5"/>
      <name val="Albertus Medium"/>
    </font>
    <font>
      <sz val="11"/>
      <name val="Calibri"/>
      <family val="2"/>
    </font>
    <font>
      <b/>
      <i/>
      <sz val="12"/>
      <name val="Arial Black"/>
      <family val="2"/>
    </font>
    <font>
      <i/>
      <sz val="11"/>
      <name val="Comic Sans MS"/>
      <family val="4"/>
    </font>
    <font>
      <b/>
      <sz val="11"/>
      <name val="Arial"/>
      <family val="2"/>
    </font>
    <font>
      <i/>
      <sz val="10"/>
      <name val="Albertus Medium"/>
    </font>
    <font>
      <i/>
      <sz val="12"/>
      <color indexed="8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i/>
      <sz val="10"/>
      <name val="Comic Sans MS"/>
      <family val="4"/>
    </font>
    <font>
      <b/>
      <i/>
      <sz val="10"/>
      <name val="Arial"/>
      <family val="2"/>
    </font>
    <font>
      <b/>
      <i/>
      <sz val="10"/>
      <name val="Albertus Medium"/>
    </font>
    <font>
      <i/>
      <sz val="11"/>
      <color theme="1"/>
      <name val="Calibri"/>
      <family val="2"/>
      <scheme val="minor"/>
    </font>
    <font>
      <i/>
      <sz val="12"/>
      <name val="Calibri"/>
      <family val="2"/>
    </font>
    <font>
      <b/>
      <i/>
      <sz val="10"/>
      <name val="Tahoma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i/>
      <sz val="10"/>
      <name val="Tahoma"/>
      <family val="2"/>
    </font>
    <font>
      <i/>
      <u/>
      <sz val="10"/>
      <name val="Tahoma"/>
      <family val="2"/>
    </font>
    <font>
      <sz val="11"/>
      <color indexed="8"/>
      <name val="Calibri"/>
      <family val="2"/>
    </font>
    <font>
      <i/>
      <sz val="14"/>
      <name val="Albertus Medium"/>
    </font>
    <font>
      <i/>
      <sz val="11"/>
      <name val="Calibri"/>
      <family val="2"/>
    </font>
    <font>
      <i/>
      <sz val="8.5"/>
      <name val="Albertus Medium"/>
      <family val="2"/>
    </font>
    <font>
      <b/>
      <i/>
      <sz val="14"/>
      <name val="Albertus Medium"/>
    </font>
    <font>
      <sz val="12"/>
      <color theme="1"/>
      <name val="Calibri"/>
      <family val="2"/>
      <scheme val="minor"/>
    </font>
    <font>
      <i/>
      <sz val="14"/>
      <name val="Arial"/>
      <family val="2"/>
    </font>
    <font>
      <b/>
      <i/>
      <sz val="8.5"/>
      <name val="Albertus Medium"/>
    </font>
    <font>
      <b/>
      <sz val="12"/>
      <color theme="1"/>
      <name val="Calibri"/>
      <family val="2"/>
      <scheme val="minor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rgb="FFFF0000"/>
      <name val="Calibri"/>
      <family val="2"/>
    </font>
    <font>
      <i/>
      <sz val="12"/>
      <name val="Arial"/>
      <family val="2"/>
    </font>
    <font>
      <sz val="11"/>
      <color indexed="12"/>
      <name val="Calibri"/>
      <family val="2"/>
    </font>
    <font>
      <i/>
      <u/>
      <sz val="12"/>
      <name val="Calibri"/>
      <family val="2"/>
    </font>
    <font>
      <b/>
      <sz val="11"/>
      <name val="Albertus Medium"/>
    </font>
    <font>
      <b/>
      <sz val="14"/>
      <name val="Book Antiqua"/>
      <family val="1"/>
    </font>
    <font>
      <b/>
      <sz val="12"/>
      <name val="Arial Black"/>
      <family val="2"/>
    </font>
    <font>
      <b/>
      <sz val="12"/>
      <name val="Arial"/>
      <family val="2"/>
    </font>
    <font>
      <sz val="11"/>
      <name val="Franklin Gothic Medium"/>
      <family val="2"/>
    </font>
    <font>
      <sz val="10"/>
      <name val="Albertus Medium"/>
      <family val="2"/>
    </font>
    <font>
      <i/>
      <sz val="10"/>
      <name val="Albertus Medium"/>
      <family val="2"/>
    </font>
    <font>
      <sz val="10"/>
      <name val="Franklin Gothic Medium"/>
      <family val="2"/>
    </font>
    <font>
      <sz val="10"/>
      <name val="Albertus Medium"/>
    </font>
    <font>
      <b/>
      <sz val="10"/>
      <name val="Franklin Gothic Medium"/>
      <family val="2"/>
    </font>
    <font>
      <b/>
      <sz val="11"/>
      <name val="Franklin Gothic Medium"/>
      <family val="2"/>
    </font>
    <font>
      <i/>
      <sz val="10"/>
      <name val="Calibri"/>
      <family val="2"/>
    </font>
    <font>
      <b/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165" fontId="3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5" fontId="49" fillId="0" borderId="0" applyFont="0" applyFill="0" applyBorder="0" applyAlignment="0" applyProtection="0"/>
  </cellStyleXfs>
  <cellXfs count="55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1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 indent="1"/>
    </xf>
    <xf numFmtId="0" fontId="5" fillId="0" borderId="10" xfId="0" applyFont="1" applyBorder="1"/>
    <xf numFmtId="165" fontId="5" fillId="0" borderId="9" xfId="1" applyFont="1" applyBorder="1"/>
    <xf numFmtId="0" fontId="5" fillId="0" borderId="0" xfId="0" applyFont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 indent="1"/>
    </xf>
    <xf numFmtId="0" fontId="5" fillId="0" borderId="12" xfId="0" applyFont="1" applyBorder="1"/>
    <xf numFmtId="0" fontId="5" fillId="0" borderId="13" xfId="0" applyFont="1" applyBorder="1"/>
    <xf numFmtId="165" fontId="5" fillId="0" borderId="11" xfId="1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65" fontId="5" fillId="0" borderId="5" xfId="1" applyFont="1" applyBorder="1"/>
    <xf numFmtId="0" fontId="6" fillId="0" borderId="0" xfId="0" applyFont="1" applyAlignment="1">
      <alignment horizontal="right"/>
    </xf>
    <xf numFmtId="165" fontId="6" fillId="3" borderId="14" xfId="1" applyFont="1" applyFill="1" applyBorder="1"/>
    <xf numFmtId="165" fontId="5" fillId="0" borderId="0" xfId="1" applyFont="1"/>
    <xf numFmtId="165" fontId="7" fillId="0" borderId="0" xfId="1" applyFont="1" applyAlignment="1">
      <alignment horizontal="center" vertical="center"/>
    </xf>
    <xf numFmtId="0" fontId="6" fillId="0" borderId="0" xfId="0" applyFont="1"/>
    <xf numFmtId="165" fontId="8" fillId="0" borderId="0" xfId="1" applyFont="1" applyProtection="1"/>
    <xf numFmtId="0" fontId="9" fillId="0" borderId="0" xfId="2" applyFont="1" applyAlignment="1">
      <alignment vertical="center"/>
    </xf>
    <xf numFmtId="39" fontId="5" fillId="0" borderId="0" xfId="2" applyNumberFormat="1" applyFont="1" applyAlignment="1">
      <alignment horizontal="left" vertical="center" indent="1"/>
    </xf>
    <xf numFmtId="0" fontId="10" fillId="0" borderId="0" xfId="2" applyFont="1" applyAlignment="1">
      <alignment horizontal="right" vertical="center"/>
    </xf>
    <xf numFmtId="165" fontId="11" fillId="0" borderId="0" xfId="1" applyFont="1" applyAlignment="1" applyProtection="1">
      <alignment horizontal="left" vertical="top" wrapText="1"/>
    </xf>
    <xf numFmtId="0" fontId="5" fillId="0" borderId="0" xfId="2" applyFont="1" applyAlignment="1">
      <alignment vertical="center"/>
    </xf>
    <xf numFmtId="39" fontId="5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left" vertical="center" indent="1"/>
    </xf>
    <xf numFmtId="0" fontId="12" fillId="0" borderId="0" xfId="2" applyFont="1" applyAlignment="1">
      <alignment vertical="center"/>
    </xf>
    <xf numFmtId="165" fontId="5" fillId="0" borderId="0" xfId="1" applyFont="1" applyFill="1" applyAlignment="1" applyProtection="1">
      <alignment vertical="center"/>
    </xf>
    <xf numFmtId="166" fontId="5" fillId="0" borderId="0" xfId="1" applyNumberFormat="1" applyFont="1" applyFill="1" applyAlignment="1" applyProtection="1">
      <alignment vertical="center"/>
    </xf>
    <xf numFmtId="0" fontId="6" fillId="4" borderId="11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left" vertical="center" indent="1"/>
    </xf>
    <xf numFmtId="0" fontId="13" fillId="4" borderId="11" xfId="2" applyFont="1" applyFill="1" applyBorder="1" applyAlignment="1">
      <alignment vertical="center"/>
    </xf>
    <xf numFmtId="39" fontId="5" fillId="4" borderId="11" xfId="2" applyNumberFormat="1" applyFont="1" applyFill="1" applyBorder="1" applyAlignment="1">
      <alignment horizontal="center" vertical="center"/>
    </xf>
    <xf numFmtId="0" fontId="5" fillId="4" borderId="0" xfId="0" applyFont="1" applyFill="1"/>
    <xf numFmtId="0" fontId="5" fillId="0" borderId="11" xfId="2" applyFont="1" applyBorder="1" applyAlignment="1">
      <alignment horizontal="center" vertical="center"/>
    </xf>
    <xf numFmtId="0" fontId="5" fillId="0" borderId="11" xfId="2" applyFont="1" applyBorder="1" applyAlignment="1">
      <alignment horizontal="left" vertical="center" indent="1"/>
    </xf>
    <xf numFmtId="0" fontId="5" fillId="0" borderId="11" xfId="2" applyFont="1" applyBorder="1" applyAlignment="1">
      <alignment vertical="center"/>
    </xf>
    <xf numFmtId="39" fontId="5" fillId="0" borderId="11" xfId="2" applyNumberFormat="1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11" xfId="2" applyFont="1" applyBorder="1" applyAlignment="1">
      <alignment horizontal="left" vertical="center" indent="1"/>
    </xf>
    <xf numFmtId="166" fontId="5" fillId="0" borderId="0" xfId="1" applyNumberFormat="1" applyFont="1" applyFill="1"/>
    <xf numFmtId="0" fontId="14" fillId="0" borderId="11" xfId="2" applyFont="1" applyBorder="1" applyAlignment="1">
      <alignment vertical="center"/>
    </xf>
    <xf numFmtId="39" fontId="14" fillId="0" borderId="11" xfId="2" applyNumberFormat="1" applyFont="1" applyBorder="1" applyAlignment="1">
      <alignment horizontal="center" vertical="center"/>
    </xf>
    <xf numFmtId="0" fontId="14" fillId="0" borderId="0" xfId="0" applyFont="1"/>
    <xf numFmtId="0" fontId="5" fillId="3" borderId="11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left" vertical="center" indent="1"/>
    </xf>
    <xf numFmtId="0" fontId="6" fillId="3" borderId="11" xfId="2" applyFont="1" applyFill="1" applyBorder="1" applyAlignment="1">
      <alignment horizontal="right" vertical="center"/>
    </xf>
    <xf numFmtId="39" fontId="5" fillId="3" borderId="11" xfId="2" applyNumberFormat="1" applyFont="1" applyFill="1" applyBorder="1" applyAlignment="1">
      <alignment vertical="center"/>
    </xf>
    <xf numFmtId="0" fontId="5" fillId="3" borderId="0" xfId="0" applyFont="1" applyFill="1"/>
    <xf numFmtId="0" fontId="5" fillId="0" borderId="11" xfId="2" applyFont="1" applyBorder="1" applyAlignment="1">
      <alignment horizontal="left" vertical="center"/>
    </xf>
    <xf numFmtId="167" fontId="5" fillId="0" borderId="11" xfId="2" applyNumberFormat="1" applyFont="1" applyBorder="1" applyAlignment="1">
      <alignment vertical="center"/>
    </xf>
    <xf numFmtId="0" fontId="5" fillId="0" borderId="11" xfId="2" applyFont="1" applyBorder="1" applyAlignment="1">
      <alignment horizontal="left" vertical="center" wrapText="1" indent="1"/>
    </xf>
    <xf numFmtId="0" fontId="5" fillId="0" borderId="11" xfId="0" applyFont="1" applyBorder="1" applyAlignment="1">
      <alignment horizontal="left" vertical="center" indent="1"/>
    </xf>
    <xf numFmtId="0" fontId="5" fillId="0" borderId="11" xfId="2" applyFont="1" applyBorder="1" applyAlignment="1">
      <alignment vertical="center" wrapText="1"/>
    </xf>
    <xf numFmtId="165" fontId="5" fillId="0" borderId="11" xfId="5" applyFont="1" applyFill="1" applyBorder="1" applyAlignment="1" applyProtection="1">
      <alignment vertical="center"/>
    </xf>
    <xf numFmtId="0" fontId="5" fillId="3" borderId="16" xfId="2" applyFont="1" applyFill="1" applyBorder="1" applyAlignment="1">
      <alignment horizontal="center" vertical="center"/>
    </xf>
    <xf numFmtId="0" fontId="6" fillId="3" borderId="16" xfId="2" applyFont="1" applyFill="1" applyBorder="1" applyAlignment="1">
      <alignment horizontal="left" vertical="center" indent="1"/>
    </xf>
    <xf numFmtId="0" fontId="6" fillId="3" borderId="16" xfId="2" applyFont="1" applyFill="1" applyBorder="1" applyAlignment="1">
      <alignment horizontal="right" vertical="center"/>
    </xf>
    <xf numFmtId="39" fontId="5" fillId="3" borderId="16" xfId="2" applyNumberFormat="1" applyFont="1" applyFill="1" applyBorder="1" applyAlignment="1">
      <alignment vertical="center"/>
    </xf>
    <xf numFmtId="0" fontId="5" fillId="4" borderId="18" xfId="2" applyFont="1" applyFill="1" applyBorder="1" applyAlignment="1">
      <alignment horizontal="center" vertical="center"/>
    </xf>
    <xf numFmtId="0" fontId="6" fillId="4" borderId="19" xfId="2" applyFont="1" applyFill="1" applyBorder="1" applyAlignment="1">
      <alignment horizontal="left" vertical="center" indent="1"/>
    </xf>
    <xf numFmtId="0" fontId="6" fillId="4" borderId="20" xfId="2" applyFont="1" applyFill="1" applyBorder="1" applyAlignment="1">
      <alignment horizontal="right" vertical="center"/>
    </xf>
    <xf numFmtId="39" fontId="5" fillId="4" borderId="21" xfId="2" applyNumberFormat="1" applyFont="1" applyFill="1" applyBorder="1" applyAlignment="1">
      <alignment vertical="center"/>
    </xf>
    <xf numFmtId="0" fontId="6" fillId="4" borderId="19" xfId="2" applyFont="1" applyFill="1" applyBorder="1" applyAlignment="1">
      <alignment horizontal="right" vertical="center"/>
    </xf>
    <xf numFmtId="0" fontId="5" fillId="0" borderId="12" xfId="2" applyFont="1" applyBorder="1" applyAlignment="1">
      <alignment vertical="center"/>
    </xf>
    <xf numFmtId="0" fontId="6" fillId="0" borderId="13" xfId="2" applyFont="1" applyBorder="1" applyAlignment="1">
      <alignment horizontal="left" vertical="center" indent="1"/>
    </xf>
    <xf numFmtId="0" fontId="6" fillId="0" borderId="13" xfId="2" applyFont="1" applyBorder="1" applyAlignment="1">
      <alignment horizontal="right" vertical="center"/>
    </xf>
    <xf numFmtId="0" fontId="5" fillId="0" borderId="17" xfId="2" applyFont="1" applyBorder="1" applyAlignment="1">
      <alignment vertical="center"/>
    </xf>
    <xf numFmtId="0" fontId="5" fillId="4" borderId="24" xfId="2" applyFont="1" applyFill="1" applyBorder="1" applyAlignment="1">
      <alignment vertical="center"/>
    </xf>
    <xf numFmtId="0" fontId="6" fillId="4" borderId="25" xfId="2" applyFont="1" applyFill="1" applyBorder="1" applyAlignment="1">
      <alignment horizontal="left" vertical="center" indent="1"/>
    </xf>
    <xf numFmtId="0" fontId="6" fillId="4" borderId="25" xfId="2" applyFont="1" applyFill="1" applyBorder="1" applyAlignment="1">
      <alignment horizontal="right" vertical="center"/>
    </xf>
    <xf numFmtId="0" fontId="5" fillId="4" borderId="26" xfId="2" applyFont="1" applyFill="1" applyBorder="1" applyAlignment="1">
      <alignment vertical="center"/>
    </xf>
    <xf numFmtId="165" fontId="5" fillId="0" borderId="0" xfId="1" applyFont="1" applyFill="1" applyBorder="1" applyAlignment="1" applyProtection="1">
      <alignment vertical="center"/>
    </xf>
    <xf numFmtId="166" fontId="5" fillId="0" borderId="0" xfId="1" applyNumberFormat="1" applyFont="1" applyFill="1" applyBorder="1" applyAlignment="1" applyProtection="1">
      <alignment vertical="center"/>
    </xf>
    <xf numFmtId="166" fontId="6" fillId="0" borderId="0" xfId="1" applyNumberFormat="1" applyFont="1" applyBorder="1" applyAlignment="1">
      <alignment vertical="center"/>
    </xf>
    <xf numFmtId="168" fontId="5" fillId="0" borderId="0" xfId="1" applyNumberFormat="1" applyFont="1" applyFill="1" applyAlignment="1" applyProtection="1">
      <alignment vertical="center"/>
    </xf>
    <xf numFmtId="169" fontId="5" fillId="0" borderId="0" xfId="1" applyNumberFormat="1" applyFont="1" applyFill="1" applyAlignment="1" applyProtection="1">
      <alignment vertical="center"/>
    </xf>
    <xf numFmtId="166" fontId="5" fillId="0" borderId="0" xfId="1" applyNumberFormat="1" applyFont="1" applyFill="1" applyProtection="1"/>
    <xf numFmtId="0" fontId="5" fillId="0" borderId="0" xfId="0" applyFont="1" applyAlignment="1">
      <alignment horizontal="left" indent="1"/>
    </xf>
    <xf numFmtId="165" fontId="5" fillId="0" borderId="0" xfId="1" applyFont="1" applyFill="1"/>
    <xf numFmtId="165" fontId="11" fillId="0" borderId="0" xfId="1" applyFont="1" applyAlignment="1" applyProtection="1">
      <alignment vertical="top"/>
    </xf>
    <xf numFmtId="165" fontId="11" fillId="0" borderId="27" xfId="1" applyFont="1" applyBorder="1" applyAlignment="1" applyProtection="1">
      <alignment vertical="top"/>
    </xf>
    <xf numFmtId="166" fontId="5" fillId="0" borderId="0" xfId="5" applyNumberFormat="1" applyFont="1" applyFill="1" applyAlignment="1" applyProtection="1">
      <alignment vertical="center"/>
    </xf>
    <xf numFmtId="166" fontId="6" fillId="2" borderId="2" xfId="5" applyNumberFormat="1" applyFont="1" applyFill="1" applyBorder="1" applyAlignment="1" applyProtection="1">
      <alignment horizontal="center" vertical="center" wrapText="1"/>
    </xf>
    <xf numFmtId="165" fontId="5" fillId="4" borderId="11" xfId="5" applyFont="1" applyFill="1" applyBorder="1" applyAlignment="1" applyProtection="1">
      <alignment vertical="center"/>
    </xf>
    <xf numFmtId="166" fontId="5" fillId="4" borderId="11" xfId="5" applyNumberFormat="1" applyFont="1" applyFill="1" applyBorder="1" applyAlignment="1" applyProtection="1">
      <alignment vertical="center"/>
    </xf>
    <xf numFmtId="165" fontId="5" fillId="0" borderId="11" xfId="5" applyFont="1" applyFill="1" applyBorder="1"/>
    <xf numFmtId="166" fontId="5" fillId="0" borderId="11" xfId="5" applyNumberFormat="1" applyFont="1" applyFill="1" applyBorder="1" applyAlignment="1" applyProtection="1">
      <alignment vertical="center"/>
    </xf>
    <xf numFmtId="166" fontId="5" fillId="0" borderId="0" xfId="5" applyNumberFormat="1" applyFont="1" applyFill="1"/>
    <xf numFmtId="165" fontId="14" fillId="0" borderId="11" xfId="5" applyFont="1" applyFill="1" applyBorder="1" applyAlignment="1" applyProtection="1">
      <alignment vertical="center"/>
    </xf>
    <xf numFmtId="166" fontId="14" fillId="0" borderId="11" xfId="5" applyNumberFormat="1" applyFont="1" applyFill="1" applyBorder="1" applyAlignment="1" applyProtection="1">
      <alignment vertical="center"/>
    </xf>
    <xf numFmtId="165" fontId="5" fillId="3" borderId="11" xfId="5" applyFont="1" applyFill="1" applyBorder="1" applyAlignment="1" applyProtection="1">
      <alignment vertical="center"/>
    </xf>
    <xf numFmtId="166" fontId="6" fillId="3" borderId="16" xfId="5" applyNumberFormat="1" applyFont="1" applyFill="1" applyBorder="1" applyAlignment="1" applyProtection="1">
      <alignment vertical="center"/>
    </xf>
    <xf numFmtId="166" fontId="6" fillId="3" borderId="11" xfId="5" applyNumberFormat="1" applyFont="1" applyFill="1" applyBorder="1" applyAlignment="1" applyProtection="1">
      <alignment vertical="center"/>
    </xf>
    <xf numFmtId="165" fontId="5" fillId="0" borderId="11" xfId="5" applyFont="1" applyFill="1" applyBorder="1" applyAlignment="1">
      <alignment vertical="center"/>
    </xf>
    <xf numFmtId="165" fontId="5" fillId="0" borderId="11" xfId="5" applyFont="1" applyFill="1" applyBorder="1" applyAlignment="1">
      <alignment horizontal="center"/>
    </xf>
    <xf numFmtId="165" fontId="5" fillId="0" borderId="11" xfId="5" applyFont="1" applyFill="1" applyBorder="1" applyAlignment="1">
      <alignment horizontal="center" vertical="center"/>
    </xf>
    <xf numFmtId="166" fontId="5" fillId="0" borderId="11" xfId="5" applyNumberFormat="1" applyFont="1" applyFill="1" applyBorder="1" applyAlignment="1">
      <alignment vertical="center"/>
    </xf>
    <xf numFmtId="165" fontId="5" fillId="3" borderId="16" xfId="5" applyFont="1" applyFill="1" applyBorder="1" applyAlignment="1" applyProtection="1">
      <alignment vertical="center"/>
    </xf>
    <xf numFmtId="165" fontId="5" fillId="4" borderId="22" xfId="5" applyFont="1" applyFill="1" applyBorder="1" applyAlignment="1" applyProtection="1">
      <alignment vertical="center"/>
    </xf>
    <xf numFmtId="166" fontId="6" fillId="4" borderId="23" xfId="5" applyNumberFormat="1" applyFont="1" applyFill="1" applyBorder="1" applyAlignment="1" applyProtection="1">
      <alignment vertical="center"/>
    </xf>
    <xf numFmtId="165" fontId="5" fillId="0" borderId="12" xfId="5" applyFont="1" applyFill="1" applyBorder="1" applyAlignment="1" applyProtection="1">
      <alignment vertical="center"/>
    </xf>
    <xf numFmtId="166" fontId="6" fillId="0" borderId="11" xfId="5" applyNumberFormat="1" applyFont="1" applyFill="1" applyBorder="1" applyAlignment="1" applyProtection="1">
      <alignment vertical="center"/>
    </xf>
    <xf numFmtId="165" fontId="5" fillId="4" borderId="24" xfId="5" applyFont="1" applyFill="1" applyBorder="1" applyAlignment="1" applyProtection="1">
      <alignment vertical="center"/>
    </xf>
    <xf numFmtId="166" fontId="6" fillId="4" borderId="16" xfId="5" applyNumberFormat="1" applyFont="1" applyFill="1" applyBorder="1" applyAlignment="1" applyProtection="1">
      <alignment vertical="center"/>
    </xf>
    <xf numFmtId="165" fontId="5" fillId="0" borderId="0" xfId="5" applyFont="1" applyFill="1" applyBorder="1" applyAlignment="1" applyProtection="1">
      <alignment vertical="center"/>
    </xf>
    <xf numFmtId="166" fontId="5" fillId="0" borderId="0" xfId="5" applyNumberFormat="1" applyFont="1" applyFill="1" applyBorder="1" applyAlignment="1" applyProtection="1">
      <alignment vertical="center"/>
    </xf>
    <xf numFmtId="166" fontId="6" fillId="0" borderId="0" xfId="5" applyNumberFormat="1" applyFont="1" applyBorder="1" applyAlignment="1">
      <alignment vertical="center"/>
    </xf>
    <xf numFmtId="165" fontId="5" fillId="0" borderId="0" xfId="5" applyFont="1" applyFill="1" applyAlignment="1" applyProtection="1">
      <alignment vertical="center"/>
    </xf>
    <xf numFmtId="0" fontId="5" fillId="0" borderId="0" xfId="2" quotePrefix="1" applyFont="1" applyAlignment="1">
      <alignment vertical="center"/>
    </xf>
    <xf numFmtId="170" fontId="5" fillId="0" borderId="0" xfId="5" applyNumberFormat="1" applyFont="1" applyFill="1" applyAlignment="1" applyProtection="1">
      <alignment vertical="center"/>
    </xf>
    <xf numFmtId="168" fontId="5" fillId="0" borderId="0" xfId="5" applyNumberFormat="1" applyFont="1" applyFill="1" applyAlignment="1" applyProtection="1">
      <alignment vertical="center"/>
    </xf>
    <xf numFmtId="169" fontId="5" fillId="0" borderId="0" xfId="5" applyNumberFormat="1" applyFont="1" applyFill="1" applyAlignment="1" applyProtection="1">
      <alignment vertical="center"/>
    </xf>
    <xf numFmtId="166" fontId="5" fillId="0" borderId="0" xfId="5" applyNumberFormat="1" applyFont="1" applyFill="1" applyProtection="1"/>
    <xf numFmtId="165" fontId="5" fillId="0" borderId="0" xfId="5" applyFont="1" applyFill="1"/>
    <xf numFmtId="0" fontId="6" fillId="2" borderId="15" xfId="2" applyFont="1" applyFill="1" applyBorder="1" applyAlignment="1">
      <alignment horizontal="center" vertical="center" wrapText="1"/>
    </xf>
    <xf numFmtId="0" fontId="6" fillId="2" borderId="15" xfId="2" applyFont="1" applyFill="1" applyBorder="1" applyAlignment="1">
      <alignment horizontal="left" vertical="center" wrapText="1" indent="1"/>
    </xf>
    <xf numFmtId="0" fontId="6" fillId="2" borderId="15" xfId="2" applyFont="1" applyFill="1" applyBorder="1" applyAlignment="1">
      <alignment horizontal="center" vertical="center"/>
    </xf>
    <xf numFmtId="39" fontId="6" fillId="2" borderId="15" xfId="2" applyNumberFormat="1" applyFont="1" applyFill="1" applyBorder="1" applyAlignment="1">
      <alignment horizontal="center" vertical="center" wrapText="1"/>
    </xf>
    <xf numFmtId="165" fontId="6" fillId="2" borderId="22" xfId="5" applyFont="1" applyFill="1" applyBorder="1" applyAlignment="1" applyProtection="1">
      <alignment horizontal="center" vertical="center" wrapText="1"/>
    </xf>
    <xf numFmtId="0" fontId="5" fillId="0" borderId="17" xfId="2" applyFont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17" fillId="0" borderId="11" xfId="2" applyFont="1" applyBorder="1" applyAlignment="1">
      <alignment horizontal="left" vertical="center" indent="1"/>
    </xf>
    <xf numFmtId="0" fontId="17" fillId="0" borderId="11" xfId="2" applyFont="1" applyBorder="1" applyAlignment="1">
      <alignment horizontal="left" vertical="center" wrapText="1" indent="1"/>
    </xf>
    <xf numFmtId="0" fontId="18" fillId="2" borderId="15" xfId="2" applyFont="1" applyFill="1" applyBorder="1" applyAlignment="1">
      <alignment horizontal="center" vertical="center" wrapText="1"/>
    </xf>
    <xf numFmtId="0" fontId="18" fillId="2" borderId="15" xfId="2" applyFont="1" applyFill="1" applyBorder="1" applyAlignment="1">
      <alignment horizontal="left" vertical="center" wrapText="1" indent="1"/>
    </xf>
    <xf numFmtId="0" fontId="18" fillId="2" borderId="15" xfId="2" applyFont="1" applyFill="1" applyBorder="1" applyAlignment="1">
      <alignment horizontal="center" vertical="center"/>
    </xf>
    <xf numFmtId="39" fontId="18" fillId="2" borderId="15" xfId="2" applyNumberFormat="1" applyFont="1" applyFill="1" applyBorder="1" applyAlignment="1">
      <alignment horizontal="center" vertical="center" wrapText="1"/>
    </xf>
    <xf numFmtId="165" fontId="18" fillId="2" borderId="2" xfId="1" applyFont="1" applyFill="1" applyBorder="1" applyAlignment="1" applyProtection="1">
      <alignment horizontal="center" vertical="center" wrapText="1"/>
    </xf>
    <xf numFmtId="166" fontId="18" fillId="2" borderId="2" xfId="1" applyNumberFormat="1" applyFont="1" applyFill="1" applyBorder="1" applyAlignment="1" applyProtection="1">
      <alignment horizontal="center" vertical="center" wrapText="1"/>
    </xf>
    <xf numFmtId="0" fontId="17" fillId="0" borderId="0" xfId="0" applyFont="1"/>
    <xf numFmtId="0" fontId="18" fillId="4" borderId="11" xfId="2" applyFont="1" applyFill="1" applyBorder="1" applyAlignment="1">
      <alignment horizontal="center" vertical="center"/>
    </xf>
    <xf numFmtId="0" fontId="10" fillId="4" borderId="11" xfId="2" applyFont="1" applyFill="1" applyBorder="1" applyAlignment="1">
      <alignment horizontal="left" vertical="center" indent="1"/>
    </xf>
    <xf numFmtId="0" fontId="10" fillId="4" borderId="11" xfId="2" applyFont="1" applyFill="1" applyBorder="1" applyAlignment="1">
      <alignment vertical="center"/>
    </xf>
    <xf numFmtId="39" fontId="17" fillId="4" borderId="11" xfId="2" applyNumberFormat="1" applyFont="1" applyFill="1" applyBorder="1" applyAlignment="1">
      <alignment horizontal="center" vertical="center"/>
    </xf>
    <xf numFmtId="165" fontId="17" fillId="4" borderId="11" xfId="1" applyFont="1" applyFill="1" applyBorder="1" applyAlignment="1" applyProtection="1">
      <alignment vertical="center"/>
    </xf>
    <xf numFmtId="166" fontId="17" fillId="4" borderId="11" xfId="1" applyNumberFormat="1" applyFont="1" applyFill="1" applyBorder="1" applyAlignment="1" applyProtection="1">
      <alignment vertical="center"/>
    </xf>
    <xf numFmtId="0" fontId="17" fillId="4" borderId="0" xfId="0" applyFont="1" applyFill="1"/>
    <xf numFmtId="0" fontId="17" fillId="0" borderId="11" xfId="2" applyFont="1" applyBorder="1" applyAlignment="1">
      <alignment horizontal="center" vertical="center"/>
    </xf>
    <xf numFmtId="0" fontId="17" fillId="0" borderId="11" xfId="2" applyFont="1" applyBorder="1" applyAlignment="1">
      <alignment vertical="center"/>
    </xf>
    <xf numFmtId="39" fontId="17" fillId="0" borderId="11" xfId="2" applyNumberFormat="1" applyFont="1" applyBorder="1" applyAlignment="1">
      <alignment horizontal="center" vertical="center"/>
    </xf>
    <xf numFmtId="165" fontId="17" fillId="0" borderId="11" xfId="1" applyFont="1" applyFill="1" applyBorder="1"/>
    <xf numFmtId="166" fontId="17" fillId="0" borderId="11" xfId="1" applyNumberFormat="1" applyFont="1" applyFill="1" applyBorder="1" applyAlignment="1" applyProtection="1">
      <alignment vertical="center"/>
    </xf>
    <xf numFmtId="166" fontId="19" fillId="0" borderId="11" xfId="1" applyNumberFormat="1" applyFont="1" applyFill="1" applyBorder="1" applyAlignment="1" applyProtection="1">
      <alignment vertical="center"/>
    </xf>
    <xf numFmtId="165" fontId="17" fillId="0" borderId="11" xfId="1" applyFont="1" applyFill="1" applyBorder="1" applyAlignment="1" applyProtection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11" xfId="2" applyFont="1" applyBorder="1" applyAlignment="1">
      <alignment horizontal="left" vertical="center" indent="1"/>
    </xf>
    <xf numFmtId="0" fontId="20" fillId="0" borderId="11" xfId="2" applyFont="1" applyBorder="1" applyAlignment="1">
      <alignment vertical="center"/>
    </xf>
    <xf numFmtId="39" fontId="20" fillId="0" borderId="11" xfId="2" applyNumberFormat="1" applyFont="1" applyBorder="1" applyAlignment="1">
      <alignment horizontal="center" vertical="center"/>
    </xf>
    <xf numFmtId="165" fontId="20" fillId="0" borderId="11" xfId="1" applyFont="1" applyFill="1" applyBorder="1" applyAlignment="1" applyProtection="1">
      <alignment vertical="center"/>
    </xf>
    <xf numFmtId="166" fontId="20" fillId="0" borderId="11" xfId="1" applyNumberFormat="1" applyFont="1" applyFill="1" applyBorder="1" applyAlignment="1" applyProtection="1">
      <alignment vertical="center"/>
    </xf>
    <xf numFmtId="0" fontId="20" fillId="0" borderId="0" xfId="0" applyFont="1"/>
    <xf numFmtId="0" fontId="17" fillId="3" borderId="11" xfId="2" applyFont="1" applyFill="1" applyBorder="1" applyAlignment="1">
      <alignment horizontal="center" vertical="center"/>
    </xf>
    <xf numFmtId="0" fontId="18" fillId="3" borderId="11" xfId="2" applyFont="1" applyFill="1" applyBorder="1" applyAlignment="1">
      <alignment horizontal="left" vertical="center" indent="1"/>
    </xf>
    <xf numFmtId="0" fontId="18" fillId="3" borderId="11" xfId="2" applyFont="1" applyFill="1" applyBorder="1" applyAlignment="1">
      <alignment horizontal="right" vertical="center"/>
    </xf>
    <xf numFmtId="39" fontId="17" fillId="3" borderId="11" xfId="2" applyNumberFormat="1" applyFont="1" applyFill="1" applyBorder="1" applyAlignment="1">
      <alignment vertical="center"/>
    </xf>
    <xf numFmtId="165" fontId="17" fillId="3" borderId="11" xfId="1" applyFont="1" applyFill="1" applyBorder="1" applyAlignment="1" applyProtection="1">
      <alignment vertical="center"/>
    </xf>
    <xf numFmtId="166" fontId="18" fillId="3" borderId="16" xfId="1" applyNumberFormat="1" applyFont="1" applyFill="1" applyBorder="1" applyAlignment="1" applyProtection="1">
      <alignment vertical="center"/>
    </xf>
    <xf numFmtId="166" fontId="18" fillId="3" borderId="11" xfId="1" applyNumberFormat="1" applyFont="1" applyFill="1" applyBorder="1" applyAlignment="1" applyProtection="1">
      <alignment vertical="center"/>
    </xf>
    <xf numFmtId="0" fontId="17" fillId="3" borderId="0" xfId="0" applyFont="1" applyFill="1"/>
    <xf numFmtId="0" fontId="17" fillId="0" borderId="11" xfId="2" applyFont="1" applyBorder="1" applyAlignment="1">
      <alignment horizontal="left" vertical="center"/>
    </xf>
    <xf numFmtId="0" fontId="17" fillId="0" borderId="11" xfId="0" applyFont="1" applyBorder="1" applyAlignment="1">
      <alignment horizontal="left" indent="1"/>
    </xf>
    <xf numFmtId="0" fontId="18" fillId="0" borderId="11" xfId="2" applyFont="1" applyBorder="1" applyAlignment="1">
      <alignment horizontal="center" vertical="center"/>
    </xf>
    <xf numFmtId="0" fontId="10" fillId="0" borderId="11" xfId="2" applyFont="1" applyBorder="1" applyAlignment="1">
      <alignment horizontal="left" vertical="center" indent="1"/>
    </xf>
    <xf numFmtId="0" fontId="10" fillId="0" borderId="11" xfId="2" applyFont="1" applyBorder="1" applyAlignment="1">
      <alignment vertical="center"/>
    </xf>
    <xf numFmtId="165" fontId="17" fillId="0" borderId="11" xfId="1" applyFont="1" applyFill="1" applyBorder="1" applyAlignment="1">
      <alignment vertical="center"/>
    </xf>
    <xf numFmtId="0" fontId="17" fillId="0" borderId="17" xfId="2" applyFont="1" applyBorder="1" applyAlignment="1">
      <alignment horizontal="left" vertical="center" indent="1"/>
    </xf>
    <xf numFmtId="167" fontId="17" fillId="0" borderId="11" xfId="2" applyNumberFormat="1" applyFont="1" applyBorder="1" applyAlignment="1">
      <alignment vertical="center"/>
    </xf>
    <xf numFmtId="165" fontId="17" fillId="0" borderId="11" xfId="1" applyFont="1" applyFill="1" applyBorder="1" applyAlignment="1">
      <alignment horizontal="center"/>
    </xf>
    <xf numFmtId="0" fontId="20" fillId="0" borderId="17" xfId="2" applyFont="1" applyBorder="1" applyAlignment="1">
      <alignment horizontal="left" vertical="center" indent="1"/>
    </xf>
    <xf numFmtId="167" fontId="20" fillId="0" borderId="11" xfId="2" applyNumberFormat="1" applyFont="1" applyBorder="1" applyAlignment="1">
      <alignment vertical="center"/>
    </xf>
    <xf numFmtId="0" fontId="21" fillId="0" borderId="11" xfId="0" applyFont="1" applyBorder="1" applyAlignment="1">
      <alignment horizontal="left" indent="1"/>
    </xf>
    <xf numFmtId="0" fontId="17" fillId="0" borderId="11" xfId="0" applyFont="1" applyBorder="1" applyAlignment="1">
      <alignment horizontal="left" vertical="center" indent="1"/>
    </xf>
    <xf numFmtId="0" fontId="17" fillId="0" borderId="11" xfId="2" applyFont="1" applyBorder="1" applyAlignment="1">
      <alignment vertical="center" wrapText="1"/>
    </xf>
    <xf numFmtId="165" fontId="17" fillId="0" borderId="11" xfId="1" applyFont="1" applyFill="1" applyBorder="1" applyAlignment="1">
      <alignment horizontal="center" vertical="center"/>
    </xf>
    <xf numFmtId="0" fontId="17" fillId="0" borderId="11" xfId="4" applyFont="1" applyBorder="1" applyAlignment="1">
      <alignment horizontal="left" vertical="center" indent="1"/>
    </xf>
    <xf numFmtId="166" fontId="17" fillId="0" borderId="11" xfId="1" applyNumberFormat="1" applyFont="1" applyFill="1" applyBorder="1" applyAlignment="1" applyProtection="1">
      <alignment horizontal="right" vertical="center"/>
    </xf>
    <xf numFmtId="166" fontId="17" fillId="0" borderId="11" xfId="1" applyNumberFormat="1" applyFont="1" applyFill="1" applyBorder="1"/>
    <xf numFmtId="165" fontId="17" fillId="0" borderId="11" xfId="1" applyFont="1" applyFill="1" applyBorder="1" applyAlignment="1" applyProtection="1">
      <alignment horizontal="right" vertical="center"/>
    </xf>
    <xf numFmtId="166" fontId="19" fillId="0" borderId="11" xfId="1" applyNumberFormat="1" applyFont="1" applyFill="1" applyBorder="1" applyAlignment="1" applyProtection="1">
      <alignment horizontal="right" vertical="center"/>
    </xf>
    <xf numFmtId="0" fontId="18" fillId="0" borderId="11" xfId="2" applyFont="1" applyBorder="1" applyAlignment="1">
      <alignment horizontal="left" vertical="center" indent="1"/>
    </xf>
    <xf numFmtId="0" fontId="17" fillId="0" borderId="11" xfId="0" applyFont="1" applyBorder="1"/>
    <xf numFmtId="0" fontId="17" fillId="3" borderId="16" xfId="2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horizontal="left" vertical="center" indent="1"/>
    </xf>
    <xf numFmtId="0" fontId="18" fillId="3" borderId="16" xfId="2" applyFont="1" applyFill="1" applyBorder="1" applyAlignment="1">
      <alignment horizontal="right" vertical="center"/>
    </xf>
    <xf numFmtId="39" fontId="17" fillId="3" borderId="16" xfId="2" applyNumberFormat="1" applyFont="1" applyFill="1" applyBorder="1" applyAlignment="1">
      <alignment vertical="center"/>
    </xf>
    <xf numFmtId="165" fontId="17" fillId="3" borderId="16" xfId="1" applyFont="1" applyFill="1" applyBorder="1" applyAlignment="1" applyProtection="1">
      <alignment vertical="center"/>
    </xf>
    <xf numFmtId="0" fontId="17" fillId="4" borderId="18" xfId="2" applyFont="1" applyFill="1" applyBorder="1" applyAlignment="1">
      <alignment horizontal="center" vertical="center"/>
    </xf>
    <xf numFmtId="0" fontId="18" fillId="4" borderId="19" xfId="2" applyFont="1" applyFill="1" applyBorder="1" applyAlignment="1">
      <alignment horizontal="left" vertical="center" indent="1"/>
    </xf>
    <xf numFmtId="0" fontId="18" fillId="4" borderId="20" xfId="2" applyFont="1" applyFill="1" applyBorder="1" applyAlignment="1">
      <alignment horizontal="right" vertical="center"/>
    </xf>
    <xf numFmtId="39" fontId="17" fillId="4" borderId="21" xfId="2" applyNumberFormat="1" applyFont="1" applyFill="1" applyBorder="1" applyAlignment="1">
      <alignment vertical="center"/>
    </xf>
    <xf numFmtId="165" fontId="17" fillId="4" borderId="22" xfId="1" applyFont="1" applyFill="1" applyBorder="1" applyAlignment="1" applyProtection="1">
      <alignment vertical="center"/>
    </xf>
    <xf numFmtId="0" fontId="18" fillId="4" borderId="19" xfId="2" applyFont="1" applyFill="1" applyBorder="1" applyAlignment="1">
      <alignment horizontal="right" vertical="center"/>
    </xf>
    <xf numFmtId="166" fontId="18" fillId="4" borderId="23" xfId="1" applyNumberFormat="1" applyFont="1" applyFill="1" applyBorder="1" applyAlignment="1" applyProtection="1">
      <alignment vertical="center"/>
    </xf>
    <xf numFmtId="0" fontId="17" fillId="0" borderId="12" xfId="2" applyFont="1" applyBorder="1" applyAlignment="1">
      <alignment vertical="center"/>
    </xf>
    <xf numFmtId="0" fontId="18" fillId="0" borderId="13" xfId="2" applyFont="1" applyBorder="1" applyAlignment="1">
      <alignment horizontal="left" vertical="center" indent="1"/>
    </xf>
    <xf numFmtId="0" fontId="18" fillId="0" borderId="13" xfId="2" applyFont="1" applyBorder="1" applyAlignment="1">
      <alignment horizontal="right" vertical="center"/>
    </xf>
    <xf numFmtId="0" fontId="17" fillId="0" borderId="17" xfId="2" applyFont="1" applyBorder="1" applyAlignment="1">
      <alignment vertical="center"/>
    </xf>
    <xf numFmtId="165" fontId="17" fillId="0" borderId="12" xfId="1" applyFont="1" applyFill="1" applyBorder="1" applyAlignment="1" applyProtection="1">
      <alignment vertical="center"/>
    </xf>
    <xf numFmtId="166" fontId="18" fillId="0" borderId="11" xfId="1" applyNumberFormat="1" applyFont="1" applyFill="1" applyBorder="1" applyAlignment="1" applyProtection="1">
      <alignment vertical="center"/>
    </xf>
    <xf numFmtId="0" fontId="17" fillId="4" borderId="24" xfId="2" applyFont="1" applyFill="1" applyBorder="1" applyAlignment="1">
      <alignment vertical="center"/>
    </xf>
    <xf numFmtId="0" fontId="18" fillId="4" borderId="25" xfId="2" applyFont="1" applyFill="1" applyBorder="1" applyAlignment="1">
      <alignment horizontal="left" vertical="center" indent="1"/>
    </xf>
    <xf numFmtId="0" fontId="18" fillId="4" borderId="25" xfId="2" applyFont="1" applyFill="1" applyBorder="1" applyAlignment="1">
      <alignment horizontal="right" vertical="center"/>
    </xf>
    <xf numFmtId="0" fontId="17" fillId="4" borderId="26" xfId="2" applyFont="1" applyFill="1" applyBorder="1" applyAlignment="1">
      <alignment vertical="center"/>
    </xf>
    <xf numFmtId="165" fontId="17" fillId="4" borderId="24" xfId="1" applyFont="1" applyFill="1" applyBorder="1" applyAlignment="1" applyProtection="1">
      <alignment vertical="center"/>
    </xf>
    <xf numFmtId="166" fontId="18" fillId="4" borderId="16" xfId="1" applyNumberFormat="1" applyFont="1" applyFill="1" applyBorder="1" applyAlignment="1" applyProtection="1">
      <alignment vertical="center"/>
    </xf>
    <xf numFmtId="0" fontId="22" fillId="0" borderId="0" xfId="0" applyFont="1"/>
    <xf numFmtId="0" fontId="24" fillId="0" borderId="0" xfId="16" applyFont="1" applyAlignment="1">
      <alignment vertical="center"/>
    </xf>
    <xf numFmtId="0" fontId="25" fillId="0" borderId="0" xfId="16" applyFont="1" applyAlignment="1">
      <alignment vertical="center"/>
    </xf>
    <xf numFmtId="165" fontId="25" fillId="0" borderId="0" xfId="16" applyNumberFormat="1" applyFont="1" applyAlignment="1">
      <alignment horizontal="center" vertical="center"/>
    </xf>
    <xf numFmtId="0" fontId="25" fillId="0" borderId="0" xfId="16" applyFont="1" applyAlignment="1">
      <alignment horizontal="center" vertical="center"/>
    </xf>
    <xf numFmtId="0" fontId="27" fillId="0" borderId="0" xfId="16" applyFont="1" applyAlignment="1">
      <alignment vertical="center"/>
    </xf>
    <xf numFmtId="0" fontId="29" fillId="0" borderId="0" xfId="16" applyFont="1" applyAlignment="1">
      <alignment vertical="center"/>
    </xf>
    <xf numFmtId="167" fontId="29" fillId="0" borderId="0" xfId="17" applyNumberFormat="1" applyFont="1" applyBorder="1" applyAlignment="1" applyProtection="1">
      <alignment vertical="center"/>
    </xf>
    <xf numFmtId="0" fontId="23" fillId="0" borderId="0" xfId="16" applyFont="1" applyAlignment="1">
      <alignment horizontal="left"/>
    </xf>
    <xf numFmtId="0" fontId="30" fillId="0" borderId="0" xfId="16" applyFont="1" applyAlignment="1">
      <alignment vertical="center"/>
    </xf>
    <xf numFmtId="0" fontId="31" fillId="0" borderId="0" xfId="16" quotePrefix="1" applyFont="1" applyAlignment="1">
      <alignment vertical="center"/>
    </xf>
    <xf numFmtId="0" fontId="32" fillId="0" borderId="0" xfId="16" applyFont="1"/>
    <xf numFmtId="0" fontId="33" fillId="0" borderId="0" xfId="16" applyFont="1" applyAlignment="1">
      <alignment vertical="center"/>
    </xf>
    <xf numFmtId="0" fontId="34" fillId="0" borderId="0" xfId="2" applyFont="1"/>
    <xf numFmtId="37" fontId="35" fillId="4" borderId="30" xfId="16" applyNumberFormat="1" applyFont="1" applyFill="1" applyBorder="1" applyAlignment="1">
      <alignment horizontal="center"/>
    </xf>
    <xf numFmtId="37" fontId="35" fillId="4" borderId="31" xfId="16" applyNumberFormat="1" applyFont="1" applyFill="1" applyBorder="1" applyAlignment="1">
      <alignment horizontal="center"/>
    </xf>
    <xf numFmtId="37" fontId="35" fillId="4" borderId="34" xfId="16" applyNumberFormat="1" applyFont="1" applyFill="1" applyBorder="1" applyAlignment="1">
      <alignment horizontal="center" vertical="center"/>
    </xf>
    <xf numFmtId="37" fontId="35" fillId="4" borderId="35" xfId="16" applyNumberFormat="1" applyFont="1" applyFill="1" applyBorder="1" applyAlignment="1">
      <alignment horizontal="center" vertical="center"/>
    </xf>
    <xf numFmtId="0" fontId="36" fillId="0" borderId="36" xfId="16" applyFont="1" applyBorder="1"/>
    <xf numFmtId="0" fontId="36" fillId="0" borderId="37" xfId="16" applyFont="1" applyBorder="1"/>
    <xf numFmtId="39" fontId="36" fillId="0" borderId="37" xfId="16" applyNumberFormat="1" applyFont="1" applyBorder="1"/>
    <xf numFmtId="37" fontId="36" fillId="0" borderId="37" xfId="16" applyNumberFormat="1" applyFont="1" applyBorder="1"/>
    <xf numFmtId="37" fontId="36" fillId="0" borderId="38" xfId="16" applyNumberFormat="1" applyFont="1" applyBorder="1"/>
    <xf numFmtId="0" fontId="36" fillId="0" borderId="39" xfId="16" applyFont="1" applyBorder="1" applyAlignment="1">
      <alignment horizontal="center"/>
    </xf>
    <xf numFmtId="0" fontId="37" fillId="0" borderId="40" xfId="16" applyFont="1" applyBorder="1"/>
    <xf numFmtId="0" fontId="36" fillId="0" borderId="40" xfId="16" applyFont="1" applyBorder="1" applyAlignment="1">
      <alignment horizontal="center"/>
    </xf>
    <xf numFmtId="171" fontId="36" fillId="0" borderId="40" xfId="16" applyNumberFormat="1" applyFont="1" applyBorder="1"/>
    <xf numFmtId="37" fontId="36" fillId="0" borderId="40" xfId="16" applyNumberFormat="1" applyFont="1" applyBorder="1"/>
    <xf numFmtId="37" fontId="36" fillId="0" borderId="41" xfId="16" applyNumberFormat="1" applyFont="1" applyBorder="1"/>
    <xf numFmtId="0" fontId="36" fillId="0" borderId="39" xfId="16" applyFont="1" applyBorder="1"/>
    <xf numFmtId="0" fontId="36" fillId="0" borderId="40" xfId="16" applyFont="1" applyBorder="1"/>
    <xf numFmtId="167" fontId="38" fillId="0" borderId="40" xfId="17" applyNumberFormat="1" applyFont="1" applyBorder="1" applyProtection="1"/>
    <xf numFmtId="37" fontId="38" fillId="5" borderId="40" xfId="16" applyNumberFormat="1" applyFont="1" applyFill="1" applyBorder="1"/>
    <xf numFmtId="39" fontId="36" fillId="0" borderId="40" xfId="16" applyNumberFormat="1" applyFont="1" applyBorder="1" applyAlignment="1">
      <alignment horizontal="center"/>
    </xf>
    <xf numFmtId="165" fontId="38" fillId="0" borderId="40" xfId="17" applyFont="1" applyBorder="1" applyProtection="1"/>
    <xf numFmtId="37" fontId="38" fillId="0" borderId="40" xfId="16" applyNumberFormat="1" applyFont="1" applyBorder="1"/>
    <xf numFmtId="37" fontId="36" fillId="0" borderId="42" xfId="16" applyNumberFormat="1" applyFont="1" applyBorder="1"/>
    <xf numFmtId="0" fontId="36" fillId="0" borderId="40" xfId="16" applyFont="1" applyBorder="1" applyAlignment="1">
      <alignment horizontal="right"/>
    </xf>
    <xf numFmtId="0" fontId="39" fillId="0" borderId="43" xfId="16" applyFont="1" applyBorder="1" applyAlignment="1">
      <alignment vertical="center"/>
    </xf>
    <xf numFmtId="0" fontId="39" fillId="0" borderId="40" xfId="16" applyFont="1" applyBorder="1" applyAlignment="1">
      <alignment vertical="center"/>
    </xf>
    <xf numFmtId="37" fontId="37" fillId="0" borderId="31" xfId="16" applyNumberFormat="1" applyFont="1" applyBorder="1"/>
    <xf numFmtId="171" fontId="38" fillId="0" borderId="40" xfId="16" applyNumberFormat="1" applyFont="1" applyBorder="1"/>
    <xf numFmtId="166" fontId="38" fillId="0" borderId="40" xfId="17" applyNumberFormat="1" applyFont="1" applyBorder="1" applyProtection="1"/>
    <xf numFmtId="37" fontId="36" fillId="0" borderId="44" xfId="16" applyNumberFormat="1" applyFont="1" applyBorder="1"/>
    <xf numFmtId="39" fontId="36" fillId="0" borderId="40" xfId="16" applyNumberFormat="1" applyFont="1" applyBorder="1"/>
    <xf numFmtId="37" fontId="37" fillId="0" borderId="38" xfId="16" applyNumberFormat="1" applyFont="1" applyBorder="1"/>
    <xf numFmtId="37" fontId="37" fillId="0" borderId="41" xfId="16" applyNumberFormat="1" applyFont="1" applyBorder="1"/>
    <xf numFmtId="37" fontId="36" fillId="0" borderId="45" xfId="16" applyNumberFormat="1" applyFont="1" applyBorder="1"/>
    <xf numFmtId="37" fontId="37" fillId="0" borderId="46" xfId="16" applyNumberFormat="1" applyFont="1" applyBorder="1"/>
    <xf numFmtId="0" fontId="37" fillId="0" borderId="47" xfId="16" applyFont="1" applyBorder="1" applyAlignment="1">
      <alignment horizontal="left"/>
    </xf>
    <xf numFmtId="39" fontId="38" fillId="0" borderId="40" xfId="16" applyNumberFormat="1" applyFont="1" applyBorder="1"/>
    <xf numFmtId="0" fontId="38" fillId="5" borderId="40" xfId="16" applyFont="1" applyFill="1" applyBorder="1"/>
    <xf numFmtId="0" fontId="38" fillId="5" borderId="40" xfId="16" applyFont="1" applyFill="1" applyBorder="1" applyAlignment="1">
      <alignment horizontal="center"/>
    </xf>
    <xf numFmtId="171" fontId="38" fillId="5" borderId="40" xfId="16" applyNumberFormat="1" applyFont="1" applyFill="1" applyBorder="1"/>
    <xf numFmtId="37" fontId="38" fillId="0" borderId="41" xfId="16" applyNumberFormat="1" applyFont="1" applyBorder="1"/>
    <xf numFmtId="37" fontId="38" fillId="0" borderId="42" xfId="16" applyNumberFormat="1" applyFont="1" applyBorder="1"/>
    <xf numFmtId="37" fontId="40" fillId="0" borderId="31" xfId="16" applyNumberFormat="1" applyFont="1" applyBorder="1"/>
    <xf numFmtId="37" fontId="37" fillId="0" borderId="48" xfId="16" applyNumberFormat="1" applyFont="1" applyBorder="1"/>
    <xf numFmtId="37" fontId="38" fillId="0" borderId="44" xfId="16" applyNumberFormat="1" applyFont="1" applyBorder="1"/>
    <xf numFmtId="37" fontId="40" fillId="0" borderId="38" xfId="16" applyNumberFormat="1" applyFont="1" applyBorder="1"/>
    <xf numFmtId="39" fontId="38" fillId="5" borderId="40" xfId="16" applyNumberFormat="1" applyFont="1" applyFill="1" applyBorder="1"/>
    <xf numFmtId="0" fontId="37" fillId="0" borderId="40" xfId="16" applyFont="1" applyBorder="1" applyAlignment="1">
      <alignment horizontal="left"/>
    </xf>
    <xf numFmtId="0" fontId="36" fillId="0" borderId="40" xfId="16" applyFont="1" applyBorder="1" applyAlignment="1">
      <alignment horizontal="left"/>
    </xf>
    <xf numFmtId="0" fontId="37" fillId="0" borderId="47" xfId="16" applyFont="1" applyBorder="1"/>
    <xf numFmtId="37" fontId="40" fillId="0" borderId="41" xfId="16" applyNumberFormat="1" applyFont="1" applyBorder="1"/>
    <xf numFmtId="0" fontId="36" fillId="0" borderId="47" xfId="16" applyFont="1" applyBorder="1"/>
    <xf numFmtId="37" fontId="38" fillId="0" borderId="45" xfId="16" applyNumberFormat="1" applyFont="1" applyBorder="1"/>
    <xf numFmtId="172" fontId="38" fillId="0" borderId="40" xfId="17" applyNumberFormat="1" applyFont="1" applyBorder="1" applyProtection="1"/>
    <xf numFmtId="173" fontId="38" fillId="0" borderId="40" xfId="17" applyNumberFormat="1" applyFont="1" applyBorder="1" applyProtection="1"/>
    <xf numFmtId="37" fontId="38" fillId="0" borderId="49" xfId="16" applyNumberFormat="1" applyFont="1" applyBorder="1"/>
    <xf numFmtId="0" fontId="38" fillId="0" borderId="40" xfId="16" applyFont="1" applyBorder="1"/>
    <xf numFmtId="39" fontId="38" fillId="0" borderId="40" xfId="16" applyNumberFormat="1" applyFont="1" applyBorder="1" applyAlignment="1">
      <alignment horizontal="center"/>
    </xf>
    <xf numFmtId="37" fontId="40" fillId="0" borderId="48" xfId="16" applyNumberFormat="1" applyFont="1" applyBorder="1"/>
    <xf numFmtId="0" fontId="36" fillId="0" borderId="47" xfId="16" applyFont="1" applyBorder="1" applyAlignment="1">
      <alignment horizontal="center"/>
    </xf>
    <xf numFmtId="39" fontId="38" fillId="0" borderId="47" xfId="16" applyNumberFormat="1" applyFont="1" applyBorder="1"/>
    <xf numFmtId="37" fontId="38" fillId="0" borderId="47" xfId="16" applyNumberFormat="1" applyFont="1" applyBorder="1"/>
    <xf numFmtId="171" fontId="38" fillId="0" borderId="47" xfId="16" applyNumberFormat="1" applyFont="1" applyBorder="1"/>
    <xf numFmtId="0" fontId="40" fillId="0" borderId="40" xfId="16" applyFont="1" applyBorder="1"/>
    <xf numFmtId="0" fontId="38" fillId="0" borderId="40" xfId="16" applyFont="1" applyBorder="1" applyAlignment="1">
      <alignment horizontal="center"/>
    </xf>
    <xf numFmtId="0" fontId="1" fillId="0" borderId="0" xfId="16"/>
    <xf numFmtId="0" fontId="38" fillId="0" borderId="51" xfId="16" applyFont="1" applyBorder="1"/>
    <xf numFmtId="0" fontId="36" fillId="0" borderId="52" xfId="16" applyFont="1" applyBorder="1" applyAlignment="1">
      <alignment horizontal="center"/>
    </xf>
    <xf numFmtId="39" fontId="36" fillId="0" borderId="52" xfId="16" applyNumberFormat="1" applyFont="1" applyBorder="1"/>
    <xf numFmtId="171" fontId="36" fillId="0" borderId="52" xfId="16" applyNumberFormat="1" applyFont="1" applyBorder="1"/>
    <xf numFmtId="37" fontId="36" fillId="0" borderId="52" xfId="16" applyNumberFormat="1" applyFont="1" applyBorder="1"/>
    <xf numFmtId="37" fontId="36" fillId="0" borderId="53" xfId="16" applyNumberFormat="1" applyFont="1" applyBorder="1"/>
    <xf numFmtId="0" fontId="32" fillId="0" borderId="0" xfId="16" applyFont="1" applyAlignment="1">
      <alignment horizontal="center"/>
    </xf>
    <xf numFmtId="39" fontId="32" fillId="0" borderId="0" xfId="16" applyNumberFormat="1" applyFont="1"/>
    <xf numFmtId="171" fontId="32" fillId="0" borderId="0" xfId="16" applyNumberFormat="1" applyFont="1"/>
    <xf numFmtId="37" fontId="32" fillId="0" borderId="0" xfId="16" applyNumberFormat="1" applyFont="1"/>
    <xf numFmtId="0" fontId="42" fillId="0" borderId="0" xfId="16" applyFont="1"/>
    <xf numFmtId="0" fontId="43" fillId="0" borderId="0" xfId="16" applyFont="1" applyAlignment="1">
      <alignment vertical="center"/>
    </xf>
    <xf numFmtId="0" fontId="44" fillId="0" borderId="0" xfId="16" applyFont="1" applyAlignment="1">
      <alignment vertical="center"/>
    </xf>
    <xf numFmtId="0" fontId="45" fillId="0" borderId="0" xfId="16" applyFont="1" applyAlignment="1">
      <alignment vertical="center"/>
    </xf>
    <xf numFmtId="165" fontId="44" fillId="0" borderId="0" xfId="16" applyNumberFormat="1" applyFont="1" applyAlignment="1">
      <alignment vertical="center"/>
    </xf>
    <xf numFmtId="165" fontId="46" fillId="0" borderId="0" xfId="16" applyNumberFormat="1" applyFont="1" applyAlignment="1">
      <alignment vertical="center"/>
    </xf>
    <xf numFmtId="0" fontId="47" fillId="0" borderId="0" xfId="16" applyFont="1" applyAlignment="1">
      <alignment vertical="center"/>
    </xf>
    <xf numFmtId="0" fontId="48" fillId="0" borderId="0" xfId="16" applyFont="1" applyAlignment="1">
      <alignment vertical="center"/>
    </xf>
    <xf numFmtId="165" fontId="49" fillId="0" borderId="0" xfId="16" applyNumberFormat="1" applyFont="1" applyAlignment="1">
      <alignment horizontal="center" vertical="center"/>
    </xf>
    <xf numFmtId="0" fontId="28" fillId="0" borderId="0" xfId="16" applyFont="1" applyAlignment="1">
      <alignment vertical="center"/>
    </xf>
    <xf numFmtId="0" fontId="50" fillId="0" borderId="0" xfId="16" applyFont="1" applyAlignment="1">
      <alignment vertical="center"/>
    </xf>
    <xf numFmtId="165" fontId="51" fillId="0" borderId="0" xfId="16" applyNumberFormat="1" applyFont="1" applyAlignment="1">
      <alignment horizontal="center" vertical="center"/>
    </xf>
    <xf numFmtId="0" fontId="52" fillId="0" borderId="0" xfId="16" applyFont="1" applyAlignment="1">
      <alignment horizontal="center" vertical="center"/>
    </xf>
    <xf numFmtId="0" fontId="53" fillId="0" borderId="0" xfId="16" quotePrefix="1" applyFont="1" applyAlignment="1">
      <alignment horizontal="left" vertical="center"/>
    </xf>
    <xf numFmtId="0" fontId="54" fillId="0" borderId="0" xfId="16" applyFont="1"/>
    <xf numFmtId="0" fontId="55" fillId="0" borderId="0" xfId="16" applyFont="1"/>
    <xf numFmtId="3" fontId="56" fillId="0" borderId="0" xfId="16" applyNumberFormat="1" applyFont="1" applyAlignment="1">
      <alignment vertical="center"/>
    </xf>
    <xf numFmtId="3" fontId="52" fillId="0" borderId="0" xfId="16" applyNumberFormat="1" applyFont="1" applyAlignment="1">
      <alignment vertical="center"/>
    </xf>
    <xf numFmtId="0" fontId="57" fillId="0" borderId="0" xfId="16" applyFont="1" applyAlignment="1">
      <alignment horizontal="left"/>
    </xf>
    <xf numFmtId="165" fontId="52" fillId="0" borderId="0" xfId="16" applyNumberFormat="1" applyFont="1" applyAlignment="1">
      <alignment horizontal="center" vertical="center"/>
    </xf>
    <xf numFmtId="0" fontId="41" fillId="0" borderId="54" xfId="16" applyFont="1" applyBorder="1" applyAlignment="1">
      <alignment vertical="center"/>
    </xf>
    <xf numFmtId="0" fontId="52" fillId="0" borderId="54" xfId="16" applyFont="1" applyBorder="1" applyAlignment="1">
      <alignment vertical="center"/>
    </xf>
    <xf numFmtId="165" fontId="52" fillId="0" borderId="54" xfId="16" applyNumberFormat="1" applyFont="1" applyBorder="1" applyAlignment="1">
      <alignment horizontal="center" vertical="center"/>
    </xf>
    <xf numFmtId="0" fontId="52" fillId="0" borderId="54" xfId="16" applyFont="1" applyBorder="1" applyAlignment="1">
      <alignment horizontal="center" vertical="center"/>
    </xf>
    <xf numFmtId="37" fontId="58" fillId="4" borderId="57" xfId="16" applyNumberFormat="1" applyFont="1" applyFill="1" applyBorder="1" applyAlignment="1">
      <alignment horizontal="center"/>
    </xf>
    <xf numFmtId="37" fontId="58" fillId="4" borderId="58" xfId="16" applyNumberFormat="1" applyFont="1" applyFill="1" applyBorder="1" applyAlignment="1">
      <alignment horizontal="center"/>
    </xf>
    <xf numFmtId="37" fontId="59" fillId="4" borderId="61" xfId="16" applyNumberFormat="1" applyFont="1" applyFill="1" applyBorder="1" applyAlignment="1">
      <alignment horizontal="center"/>
    </xf>
    <xf numFmtId="37" fontId="59" fillId="4" borderId="62" xfId="16" applyNumberFormat="1" applyFont="1" applyFill="1" applyBorder="1" applyAlignment="1">
      <alignment horizontal="center"/>
    </xf>
    <xf numFmtId="0" fontId="60" fillId="0" borderId="0" xfId="16" applyFont="1" applyAlignment="1">
      <alignment vertical="center"/>
    </xf>
    <xf numFmtId="0" fontId="46" fillId="5" borderId="63" xfId="16" applyFont="1" applyFill="1" applyBorder="1"/>
    <xf numFmtId="0" fontId="46" fillId="0" borderId="0" xfId="16" applyFont="1"/>
    <xf numFmtId="39" fontId="46" fillId="0" borderId="64" xfId="16" applyNumberFormat="1" applyFont="1" applyBorder="1"/>
    <xf numFmtId="0" fontId="46" fillId="0" borderId="37" xfId="16" applyFont="1" applyBorder="1"/>
    <xf numFmtId="37" fontId="61" fillId="0" borderId="37" xfId="16" applyNumberFormat="1" applyFont="1" applyBorder="1" applyAlignment="1">
      <alignment horizontal="center"/>
    </xf>
    <xf numFmtId="37" fontId="61" fillId="0" borderId="65" xfId="16" applyNumberFormat="1" applyFont="1" applyBorder="1" applyAlignment="1">
      <alignment horizontal="center"/>
    </xf>
    <xf numFmtId="0" fontId="38" fillId="5" borderId="66" xfId="16" applyFont="1" applyFill="1" applyBorder="1" applyAlignment="1">
      <alignment horizontal="center"/>
    </xf>
    <xf numFmtId="39" fontId="38" fillId="0" borderId="68" xfId="16" applyNumberFormat="1" applyFont="1" applyBorder="1" applyAlignment="1">
      <alignment horizontal="center"/>
    </xf>
    <xf numFmtId="165" fontId="38" fillId="0" borderId="68" xfId="20" applyFont="1" applyFill="1" applyBorder="1" applyProtection="1"/>
    <xf numFmtId="37" fontId="38" fillId="0" borderId="68" xfId="16" applyNumberFormat="1" applyFont="1" applyBorder="1"/>
    <xf numFmtId="167" fontId="38" fillId="0" borderId="69" xfId="20" applyNumberFormat="1" applyFont="1" applyBorder="1" applyProtection="1"/>
    <xf numFmtId="0" fontId="38" fillId="0" borderId="68" xfId="16" applyFont="1" applyBorder="1"/>
    <xf numFmtId="165" fontId="38" fillId="0" borderId="68" xfId="20" applyFont="1" applyFill="1" applyBorder="1" applyAlignment="1" applyProtection="1"/>
    <xf numFmtId="165" fontId="38" fillId="0" borderId="69" xfId="20" applyFont="1" applyBorder="1" applyProtection="1"/>
    <xf numFmtId="165" fontId="38" fillId="0" borderId="70" xfId="20" applyFont="1" applyBorder="1" applyProtection="1"/>
    <xf numFmtId="167" fontId="38" fillId="0" borderId="68" xfId="20" applyNumberFormat="1" applyFont="1" applyFill="1" applyBorder="1" applyProtection="1"/>
    <xf numFmtId="165" fontId="40" fillId="0" borderId="72" xfId="20" applyFont="1" applyBorder="1" applyProtection="1"/>
    <xf numFmtId="2" fontId="27" fillId="0" borderId="0" xfId="16" applyNumberFormat="1" applyFont="1" applyAlignment="1">
      <alignment vertical="center"/>
    </xf>
    <xf numFmtId="0" fontId="38" fillId="0" borderId="68" xfId="16" applyFont="1" applyBorder="1" applyAlignment="1">
      <alignment horizontal="center"/>
    </xf>
    <xf numFmtId="171" fontId="38" fillId="0" borderId="68" xfId="16" applyNumberFormat="1" applyFont="1" applyBorder="1"/>
    <xf numFmtId="165" fontId="38" fillId="0" borderId="73" xfId="20" applyFont="1" applyBorder="1" applyProtection="1"/>
    <xf numFmtId="165" fontId="38" fillId="0" borderId="74" xfId="20" applyFont="1" applyBorder="1" applyProtection="1"/>
    <xf numFmtId="174" fontId="27" fillId="0" borderId="0" xfId="16" applyNumberFormat="1" applyFont="1" applyAlignment="1">
      <alignment vertical="center"/>
    </xf>
    <xf numFmtId="165" fontId="40" fillId="0" borderId="73" xfId="20" applyFont="1" applyBorder="1" applyProtection="1"/>
    <xf numFmtId="0" fontId="36" fillId="0" borderId="75" xfId="16" applyFont="1" applyBorder="1" applyAlignment="1">
      <alignment horizontal="right"/>
    </xf>
    <xf numFmtId="165" fontId="38" fillId="0" borderId="66" xfId="20" applyFont="1" applyFill="1" applyBorder="1" applyProtection="1"/>
    <xf numFmtId="0" fontId="38" fillId="5" borderId="66" xfId="16" applyFont="1" applyFill="1" applyBorder="1"/>
    <xf numFmtId="0" fontId="62" fillId="0" borderId="0" xfId="16" applyFont="1" applyAlignment="1">
      <alignment vertical="center"/>
    </xf>
    <xf numFmtId="39" fontId="38" fillId="0" borderId="71" xfId="16" applyNumberFormat="1" applyFont="1" applyBorder="1" applyAlignment="1">
      <alignment horizontal="center"/>
    </xf>
    <xf numFmtId="0" fontId="38" fillId="0" borderId="71" xfId="16" applyFont="1" applyBorder="1" applyAlignment="1">
      <alignment horizontal="center"/>
    </xf>
    <xf numFmtId="165" fontId="40" fillId="0" borderId="76" xfId="20" applyFont="1" applyBorder="1" applyProtection="1"/>
    <xf numFmtId="165" fontId="38" fillId="0" borderId="77" xfId="20" applyFont="1" applyBorder="1" applyProtection="1"/>
    <xf numFmtId="0" fontId="38" fillId="0" borderId="66" xfId="16" applyFont="1" applyBorder="1" applyAlignment="1">
      <alignment horizontal="center"/>
    </xf>
    <xf numFmtId="165" fontId="38" fillId="0" borderId="73" xfId="20" applyFont="1" applyFill="1" applyBorder="1" applyProtection="1"/>
    <xf numFmtId="165" fontId="38" fillId="0" borderId="74" xfId="20" applyFont="1" applyFill="1" applyBorder="1" applyProtection="1"/>
    <xf numFmtId="165" fontId="40" fillId="0" borderId="72" xfId="20" applyFont="1" applyFill="1" applyBorder="1" applyProtection="1"/>
    <xf numFmtId="39" fontId="38" fillId="0" borderId="71" xfId="16" applyNumberFormat="1" applyFont="1" applyBorder="1"/>
    <xf numFmtId="171" fontId="38" fillId="0" borderId="71" xfId="16" applyNumberFormat="1" applyFont="1" applyBorder="1"/>
    <xf numFmtId="37" fontId="38" fillId="0" borderId="71" xfId="16" applyNumberFormat="1" applyFont="1" applyBorder="1"/>
    <xf numFmtId="166" fontId="38" fillId="0" borderId="73" xfId="16" applyNumberFormat="1" applyFont="1" applyBorder="1"/>
    <xf numFmtId="0" fontId="38" fillId="5" borderId="79" xfId="16" applyFont="1" applyFill="1" applyBorder="1"/>
    <xf numFmtId="0" fontId="38" fillId="0" borderId="80" xfId="16" applyFont="1" applyBorder="1" applyAlignment="1">
      <alignment horizontal="center"/>
    </xf>
    <xf numFmtId="39" fontId="38" fillId="0" borderId="80" xfId="16" applyNumberFormat="1" applyFont="1" applyBorder="1"/>
    <xf numFmtId="171" fontId="38" fillId="0" borderId="80" xfId="16" applyNumberFormat="1" applyFont="1" applyBorder="1"/>
    <xf numFmtId="37" fontId="38" fillId="0" borderId="80" xfId="16" applyNumberFormat="1" applyFont="1" applyBorder="1"/>
    <xf numFmtId="166" fontId="38" fillId="0" borderId="81" xfId="16" applyNumberFormat="1" applyFont="1" applyBorder="1"/>
    <xf numFmtId="0" fontId="59" fillId="0" borderId="0" xfId="16" applyFont="1"/>
    <xf numFmtId="0" fontId="59" fillId="0" borderId="0" xfId="16" applyFont="1" applyAlignment="1">
      <alignment horizontal="center"/>
    </xf>
    <xf numFmtId="39" fontId="59" fillId="0" borderId="0" xfId="16" applyNumberFormat="1" applyFont="1"/>
    <xf numFmtId="171" fontId="59" fillId="0" borderId="0" xfId="16" applyNumberFormat="1" applyFont="1"/>
    <xf numFmtId="37" fontId="59" fillId="0" borderId="0" xfId="16" applyNumberFormat="1" applyFont="1"/>
    <xf numFmtId="166" fontId="59" fillId="0" borderId="0" xfId="16" applyNumberFormat="1" applyFont="1"/>
    <xf numFmtId="175" fontId="51" fillId="0" borderId="0" xfId="16" applyNumberFormat="1" applyFont="1" applyAlignment="1">
      <alignment vertical="center"/>
    </xf>
    <xf numFmtId="0" fontId="63" fillId="0" borderId="0" xfId="16" applyFont="1" applyAlignment="1">
      <alignment vertical="center"/>
    </xf>
    <xf numFmtId="165" fontId="27" fillId="0" borderId="0" xfId="16" applyNumberFormat="1" applyFont="1" applyAlignment="1">
      <alignment vertical="center"/>
    </xf>
    <xf numFmtId="165" fontId="64" fillId="0" borderId="0" xfId="16" applyNumberFormat="1" applyFont="1" applyAlignment="1">
      <alignment vertical="center"/>
    </xf>
    <xf numFmtId="0" fontId="65" fillId="0" borderId="0" xfId="16" applyFont="1"/>
    <xf numFmtId="0" fontId="22" fillId="0" borderId="0" xfId="2" applyFont="1" applyAlignment="1">
      <alignment vertical="center"/>
    </xf>
    <xf numFmtId="0" fontId="30" fillId="0" borderId="0" xfId="2" applyFont="1" applyAlignment="1">
      <alignment vertical="center"/>
    </xf>
    <xf numFmtId="0" fontId="40" fillId="0" borderId="0" xfId="16" quotePrefix="1" applyFont="1" applyAlignment="1">
      <alignment vertical="center"/>
    </xf>
    <xf numFmtId="0" fontId="67" fillId="4" borderId="83" xfId="16" applyFont="1" applyFill="1" applyBorder="1" applyAlignment="1">
      <alignment horizontal="center" vertical="center"/>
    </xf>
    <xf numFmtId="0" fontId="67" fillId="4" borderId="84" xfId="16" applyFont="1" applyFill="1" applyBorder="1" applyAlignment="1">
      <alignment horizontal="center" vertical="center"/>
    </xf>
    <xf numFmtId="0" fontId="67" fillId="4" borderId="85" xfId="16" applyFont="1" applyFill="1" applyBorder="1" applyAlignment="1">
      <alignment horizontal="center" vertical="center"/>
    </xf>
    <xf numFmtId="0" fontId="67" fillId="4" borderId="86" xfId="16" applyFont="1" applyFill="1" applyBorder="1" applyAlignment="1">
      <alignment horizontal="center" vertical="center"/>
    </xf>
    <xf numFmtId="0" fontId="67" fillId="4" borderId="87" xfId="16" applyFont="1" applyFill="1" applyBorder="1" applyAlignment="1">
      <alignment horizontal="center" vertical="center"/>
    </xf>
    <xf numFmtId="0" fontId="1" fillId="0" borderId="88" xfId="16" applyBorder="1"/>
    <xf numFmtId="0" fontId="1" fillId="0" borderId="89" xfId="16" applyBorder="1"/>
    <xf numFmtId="0" fontId="1" fillId="0" borderId="90" xfId="16" applyBorder="1"/>
    <xf numFmtId="0" fontId="1" fillId="0" borderId="91" xfId="16" applyBorder="1"/>
    <xf numFmtId="0" fontId="1" fillId="0" borderId="92" xfId="16" applyBorder="1"/>
    <xf numFmtId="0" fontId="68" fillId="0" borderId="93" xfId="16" applyFont="1" applyBorder="1" applyAlignment="1">
      <alignment horizontal="center"/>
    </xf>
    <xf numFmtId="0" fontId="68" fillId="0" borderId="78" xfId="16" applyFont="1" applyBorder="1"/>
    <xf numFmtId="0" fontId="24" fillId="5" borderId="94" xfId="16" quotePrefix="1" applyFont="1" applyFill="1" applyBorder="1" applyAlignment="1">
      <alignment horizontal="left" vertical="center"/>
    </xf>
    <xf numFmtId="0" fontId="69" fillId="5" borderId="67" xfId="16" applyFont="1" applyFill="1" applyBorder="1" applyAlignment="1">
      <alignment horizontal="center" vertical="center"/>
    </xf>
    <xf numFmtId="165" fontId="1" fillId="5" borderId="67" xfId="17" applyFont="1" applyFill="1" applyBorder="1"/>
    <xf numFmtId="0" fontId="68" fillId="0" borderId="67" xfId="16" applyFont="1" applyBorder="1"/>
    <xf numFmtId="0" fontId="68" fillId="0" borderId="95" xfId="16" applyFont="1" applyBorder="1"/>
    <xf numFmtId="0" fontId="69" fillId="5" borderId="78" xfId="16" quotePrefix="1" applyFont="1" applyFill="1" applyBorder="1" applyAlignment="1">
      <alignment vertical="center"/>
    </xf>
    <xf numFmtId="0" fontId="69" fillId="5" borderId="94" xfId="16" quotePrefix="1" applyFont="1" applyFill="1" applyBorder="1" applyAlignment="1">
      <alignment horizontal="left" vertical="center"/>
    </xf>
    <xf numFmtId="0" fontId="70" fillId="5" borderId="67" xfId="16" applyFont="1" applyFill="1" applyBorder="1" applyAlignment="1">
      <alignment horizontal="center" vertical="center"/>
    </xf>
    <xf numFmtId="3" fontId="71" fillId="0" borderId="95" xfId="16" applyNumberFormat="1" applyFont="1" applyBorder="1"/>
    <xf numFmtId="0" fontId="69" fillId="5" borderId="94" xfId="16" applyFont="1" applyFill="1" applyBorder="1" applyAlignment="1">
      <alignment horizontal="left" vertical="center"/>
    </xf>
    <xf numFmtId="165" fontId="72" fillId="5" borderId="67" xfId="16" applyNumberFormat="1" applyFont="1" applyFill="1" applyBorder="1" applyAlignment="1">
      <alignment vertical="center"/>
    </xf>
    <xf numFmtId="0" fontId="70" fillId="5" borderId="94" xfId="16" quotePrefix="1" applyFont="1" applyFill="1" applyBorder="1" applyAlignment="1">
      <alignment horizontal="left" vertical="center"/>
    </xf>
    <xf numFmtId="3" fontId="71" fillId="0" borderId="96" xfId="16" applyNumberFormat="1" applyFont="1" applyBorder="1"/>
    <xf numFmtId="0" fontId="68" fillId="5" borderId="97" xfId="16" applyFont="1" applyFill="1" applyBorder="1" applyAlignment="1">
      <alignment horizontal="center"/>
    </xf>
    <xf numFmtId="0" fontId="68" fillId="5" borderId="98" xfId="16" applyFont="1" applyFill="1" applyBorder="1"/>
    <xf numFmtId="0" fontId="68" fillId="5" borderId="99" xfId="16" applyFont="1" applyFill="1" applyBorder="1" applyAlignment="1">
      <alignment horizontal="right"/>
    </xf>
    <xf numFmtId="0" fontId="68" fillId="5" borderId="100" xfId="16" applyFont="1" applyFill="1" applyBorder="1" applyAlignment="1">
      <alignment horizontal="center"/>
    </xf>
    <xf numFmtId="165" fontId="68" fillId="5" borderId="100" xfId="17" applyFont="1" applyFill="1" applyBorder="1" applyAlignment="1">
      <alignment horizontal="center"/>
    </xf>
    <xf numFmtId="3" fontId="73" fillId="5" borderId="92" xfId="16" applyNumberFormat="1" applyFont="1" applyFill="1" applyBorder="1"/>
    <xf numFmtId="0" fontId="68" fillId="5" borderId="93" xfId="16" applyFont="1" applyFill="1" applyBorder="1" applyAlignment="1">
      <alignment horizontal="center"/>
    </xf>
    <xf numFmtId="0" fontId="68" fillId="5" borderId="78" xfId="16" applyFont="1" applyFill="1" applyBorder="1"/>
    <xf numFmtId="0" fontId="68" fillId="5" borderId="94" xfId="16" applyFont="1" applyFill="1" applyBorder="1" applyAlignment="1">
      <alignment horizontal="right"/>
    </xf>
    <xf numFmtId="0" fontId="68" fillId="5" borderId="67" xfId="16" applyFont="1" applyFill="1" applyBorder="1" applyAlignment="1">
      <alignment horizontal="center"/>
    </xf>
    <xf numFmtId="165" fontId="68" fillId="5" borderId="67" xfId="17" applyFont="1" applyFill="1" applyBorder="1" applyAlignment="1">
      <alignment horizontal="center"/>
    </xf>
    <xf numFmtId="3" fontId="68" fillId="5" borderId="67" xfId="16" applyNumberFormat="1" applyFont="1" applyFill="1" applyBorder="1"/>
    <xf numFmtId="3" fontId="74" fillId="5" borderId="95" xfId="16" applyNumberFormat="1" applyFont="1" applyFill="1" applyBorder="1"/>
    <xf numFmtId="3" fontId="68" fillId="5" borderId="95" xfId="16" applyNumberFormat="1" applyFont="1" applyFill="1" applyBorder="1"/>
    <xf numFmtId="0" fontId="69" fillId="5" borderId="94" xfId="16" quotePrefix="1" applyFont="1" applyFill="1" applyBorder="1" applyAlignment="1">
      <alignment vertical="center"/>
    </xf>
    <xf numFmtId="3" fontId="71" fillId="5" borderId="95" xfId="16" applyNumberFormat="1" applyFont="1" applyFill="1" applyBorder="1"/>
    <xf numFmtId="3" fontId="71" fillId="5" borderId="67" xfId="16" applyNumberFormat="1" applyFont="1" applyFill="1" applyBorder="1"/>
    <xf numFmtId="0" fontId="68" fillId="5" borderId="88" xfId="16" applyFont="1" applyFill="1" applyBorder="1" applyAlignment="1">
      <alignment horizontal="center"/>
    </xf>
    <xf numFmtId="0" fontId="68" fillId="5" borderId="89" xfId="16" applyFont="1" applyFill="1" applyBorder="1"/>
    <xf numFmtId="0" fontId="68" fillId="5" borderId="101" xfId="16" applyFont="1" applyFill="1" applyBorder="1" applyAlignment="1">
      <alignment horizontal="center"/>
    </xf>
    <xf numFmtId="0" fontId="68" fillId="5" borderId="2" xfId="16" applyFont="1" applyFill="1" applyBorder="1"/>
    <xf numFmtId="3" fontId="68" fillId="5" borderId="91" xfId="16" applyNumberFormat="1" applyFont="1" applyFill="1" applyBorder="1"/>
    <xf numFmtId="0" fontId="68" fillId="5" borderId="4" xfId="16" applyFont="1" applyFill="1" applyBorder="1" applyAlignment="1">
      <alignment horizontal="right"/>
    </xf>
    <xf numFmtId="0" fontId="68" fillId="5" borderId="1" xfId="16" applyFont="1" applyFill="1" applyBorder="1" applyAlignment="1">
      <alignment horizontal="center"/>
    </xf>
    <xf numFmtId="165" fontId="68" fillId="5" borderId="1" xfId="17" applyFont="1" applyFill="1" applyBorder="1" applyAlignment="1">
      <alignment horizontal="center"/>
    </xf>
    <xf numFmtId="3" fontId="68" fillId="5" borderId="1" xfId="16" applyNumberFormat="1" applyFont="1" applyFill="1" applyBorder="1"/>
    <xf numFmtId="3" fontId="74" fillId="5" borderId="102" xfId="16" applyNumberFormat="1" applyFont="1" applyFill="1" applyBorder="1"/>
    <xf numFmtId="0" fontId="68" fillId="5" borderId="90" xfId="16" applyFont="1" applyFill="1" applyBorder="1" applyAlignment="1">
      <alignment horizontal="right"/>
    </xf>
    <xf numFmtId="0" fontId="68" fillId="5" borderId="91" xfId="16" applyFont="1" applyFill="1" applyBorder="1" applyAlignment="1">
      <alignment horizontal="center"/>
    </xf>
    <xf numFmtId="165" fontId="68" fillId="5" borderId="91" xfId="17" applyFont="1" applyFill="1" applyBorder="1" applyAlignment="1">
      <alignment horizontal="center"/>
    </xf>
    <xf numFmtId="37" fontId="38" fillId="3" borderId="68" xfId="16" applyNumberFormat="1" applyFont="1" applyFill="1" applyBorder="1"/>
    <xf numFmtId="0" fontId="40" fillId="0" borderId="67" xfId="16" applyFont="1" applyBorder="1"/>
    <xf numFmtId="0" fontId="36" fillId="0" borderId="71" xfId="16" applyFont="1" applyBorder="1" applyAlignment="1">
      <alignment horizontal="right"/>
    </xf>
    <xf numFmtId="0" fontId="41" fillId="0" borderId="67" xfId="16" applyFont="1" applyBorder="1" applyAlignment="1">
      <alignment horizontal="left" vertical="center"/>
    </xf>
    <xf numFmtId="165" fontId="5" fillId="3" borderId="11" xfId="5" applyFont="1" applyFill="1" applyBorder="1" applyAlignment="1">
      <alignment horizontal="center"/>
    </xf>
    <xf numFmtId="43" fontId="17" fillId="0" borderId="0" xfId="0" applyNumberFormat="1" applyFont="1"/>
    <xf numFmtId="0" fontId="38" fillId="0" borderId="39" xfId="12" applyFont="1" applyBorder="1" applyAlignment="1">
      <alignment horizontal="center"/>
    </xf>
    <xf numFmtId="0" fontId="37" fillId="0" borderId="40" xfId="12" applyFont="1" applyBorder="1"/>
    <xf numFmtId="39" fontId="36" fillId="0" borderId="40" xfId="12" applyNumberFormat="1" applyFont="1" applyBorder="1" applyAlignment="1">
      <alignment horizontal="center"/>
    </xf>
    <xf numFmtId="171" fontId="38" fillId="0" borderId="40" xfId="12" applyNumberFormat="1" applyFont="1" applyBorder="1"/>
    <xf numFmtId="37" fontId="38" fillId="5" borderId="40" xfId="12" applyNumberFormat="1" applyFont="1" applyFill="1" applyBorder="1"/>
    <xf numFmtId="37" fontId="38" fillId="5" borderId="41" xfId="12" applyNumberFormat="1" applyFont="1" applyFill="1" applyBorder="1"/>
    <xf numFmtId="0" fontId="27" fillId="0" borderId="0" xfId="12" applyFont="1" applyAlignment="1">
      <alignment vertical="center"/>
    </xf>
    <xf numFmtId="0" fontId="36" fillId="0" borderId="40" xfId="12" applyFont="1" applyBorder="1"/>
    <xf numFmtId="0" fontId="36" fillId="0" borderId="40" xfId="12" applyFont="1" applyBorder="1" applyAlignment="1">
      <alignment horizontal="center"/>
    </xf>
    <xf numFmtId="39" fontId="38" fillId="0" borderId="40" xfId="12" applyNumberFormat="1" applyFont="1" applyBorder="1"/>
    <xf numFmtId="0" fontId="38" fillId="0" borderId="71" xfId="12" applyFont="1" applyBorder="1"/>
    <xf numFmtId="0" fontId="38" fillId="0" borderId="68" xfId="12" applyFont="1" applyBorder="1" applyAlignment="1">
      <alignment horizontal="center"/>
    </xf>
    <xf numFmtId="37" fontId="38" fillId="5" borderId="68" xfId="12" applyNumberFormat="1" applyFont="1" applyFill="1" applyBorder="1"/>
    <xf numFmtId="0" fontId="36" fillId="0" borderId="40" xfId="12" applyFont="1" applyBorder="1" applyAlignment="1">
      <alignment horizontal="left"/>
    </xf>
    <xf numFmtId="37" fontId="38" fillId="5" borderId="44" xfId="12" applyNumberFormat="1" applyFont="1" applyFill="1" applyBorder="1"/>
    <xf numFmtId="0" fontId="41" fillId="0" borderId="43" xfId="12" quotePrefix="1" applyFont="1" applyBorder="1" applyAlignment="1">
      <alignment horizontal="left" vertical="center"/>
    </xf>
    <xf numFmtId="37" fontId="40" fillId="5" borderId="50" xfId="12" applyNumberFormat="1" applyFont="1" applyFill="1" applyBorder="1"/>
    <xf numFmtId="166" fontId="17" fillId="0" borderId="0" xfId="0" applyNumberFormat="1" applyFont="1"/>
    <xf numFmtId="165" fontId="17" fillId="0" borderId="0" xfId="0" applyNumberFormat="1" applyFont="1"/>
    <xf numFmtId="41" fontId="17" fillId="0" borderId="0" xfId="21" applyFont="1"/>
    <xf numFmtId="43" fontId="20" fillId="0" borderId="0" xfId="0" applyNumberFormat="1" applyFont="1"/>
    <xf numFmtId="41" fontId="5" fillId="0" borderId="0" xfId="21" applyFont="1"/>
    <xf numFmtId="41" fontId="14" fillId="0" borderId="0" xfId="21" applyFont="1"/>
    <xf numFmtId="166" fontId="5" fillId="0" borderId="0" xfId="0" applyNumberFormat="1" applyFont="1"/>
    <xf numFmtId="3" fontId="71" fillId="0" borderId="67" xfId="16" applyNumberFormat="1" applyFont="1" applyBorder="1"/>
    <xf numFmtId="165" fontId="72" fillId="0" borderId="67" xfId="16" applyNumberFormat="1" applyFont="1" applyBorder="1" applyAlignment="1">
      <alignment vertical="center"/>
    </xf>
    <xf numFmtId="166" fontId="71" fillId="0" borderId="67" xfId="17" applyNumberFormat="1" applyFont="1" applyFill="1" applyBorder="1"/>
    <xf numFmtId="3" fontId="68" fillId="0" borderId="100" xfId="16" applyNumberFormat="1" applyFont="1" applyBorder="1"/>
    <xf numFmtId="3" fontId="68" fillId="0" borderId="67" xfId="16" applyNumberFormat="1" applyFont="1" applyBorder="1"/>
    <xf numFmtId="165" fontId="6" fillId="3" borderId="91" xfId="1" applyFont="1" applyFill="1" applyBorder="1"/>
    <xf numFmtId="37" fontId="38" fillId="0" borderId="40" xfId="3" applyNumberFormat="1" applyFont="1" applyBorder="1"/>
    <xf numFmtId="37" fontId="27" fillId="0" borderId="0" xfId="16" applyNumberFormat="1" applyFont="1" applyAlignment="1">
      <alignment vertical="center"/>
    </xf>
    <xf numFmtId="41" fontId="27" fillId="0" borderId="0" xfId="21" applyFont="1" applyAlignment="1">
      <alignment vertical="center"/>
    </xf>
    <xf numFmtId="166" fontId="5" fillId="3" borderId="11" xfId="5" applyNumberFormat="1" applyFont="1" applyFill="1" applyBorder="1" applyAlignment="1" applyProtection="1">
      <alignment vertical="center"/>
    </xf>
    <xf numFmtId="165" fontId="17" fillId="3" borderId="11" xfId="1" applyFont="1" applyFill="1" applyBorder="1"/>
    <xf numFmtId="0" fontId="20" fillId="3" borderId="11" xfId="2" applyFont="1" applyFill="1" applyBorder="1" applyAlignment="1">
      <alignment horizontal="left" vertical="center" indent="1"/>
    </xf>
    <xf numFmtId="0" fontId="38" fillId="5" borderId="63" xfId="16" applyFont="1" applyFill="1" applyBorder="1" applyAlignment="1">
      <alignment horizontal="center"/>
    </xf>
    <xf numFmtId="0" fontId="36" fillId="0" borderId="103" xfId="16" applyFont="1" applyBorder="1" applyAlignment="1">
      <alignment horizontal="right"/>
    </xf>
    <xf numFmtId="0" fontId="38" fillId="0" borderId="64" xfId="16" applyFont="1" applyBorder="1" applyAlignment="1">
      <alignment horizontal="center"/>
    </xf>
    <xf numFmtId="171" fontId="38" fillId="0" borderId="64" xfId="16" applyNumberFormat="1" applyFont="1" applyBorder="1"/>
    <xf numFmtId="37" fontId="38" fillId="0" borderId="64" xfId="16" applyNumberFormat="1" applyFont="1" applyBorder="1"/>
    <xf numFmtId="165" fontId="40" fillId="0" borderId="104" xfId="20" applyFont="1" applyBorder="1" applyProtection="1"/>
    <xf numFmtId="0" fontId="40" fillId="0" borderId="67" xfId="0" applyFont="1" applyBorder="1"/>
    <xf numFmtId="39" fontId="38" fillId="0" borderId="68" xfId="0" applyNumberFormat="1" applyFont="1" applyBorder="1" applyAlignment="1">
      <alignment horizontal="center"/>
    </xf>
    <xf numFmtId="171" fontId="38" fillId="0" borderId="71" xfId="0" applyNumberFormat="1" applyFont="1" applyBorder="1"/>
    <xf numFmtId="37" fontId="38" fillId="0" borderId="71" xfId="0" applyNumberFormat="1" applyFont="1" applyBorder="1"/>
    <xf numFmtId="0" fontId="38" fillId="0" borderId="68" xfId="0" applyFont="1" applyBorder="1"/>
    <xf numFmtId="39" fontId="38" fillId="0" borderId="71" xfId="0" applyNumberFormat="1" applyFont="1" applyBorder="1"/>
    <xf numFmtId="0" fontId="38" fillId="0" borderId="68" xfId="0" applyFont="1" applyBorder="1" applyAlignment="1">
      <alignment horizontal="center"/>
    </xf>
    <xf numFmtId="0" fontId="36" fillId="0" borderId="75" xfId="0" applyFont="1" applyBorder="1" applyAlignment="1">
      <alignment horizontal="right"/>
    </xf>
    <xf numFmtId="0" fontId="38" fillId="0" borderId="71" xfId="0" applyFont="1" applyBorder="1" applyAlignment="1">
      <alignment horizontal="center"/>
    </xf>
    <xf numFmtId="166" fontId="17" fillId="3" borderId="11" xfId="1" applyNumberFormat="1" applyFont="1" applyFill="1" applyBorder="1" applyAlignment="1" applyProtection="1">
      <alignment vertical="center"/>
    </xf>
    <xf numFmtId="0" fontId="38" fillId="0" borderId="105" xfId="0" applyFont="1" applyBorder="1"/>
    <xf numFmtId="165" fontId="17" fillId="3" borderId="11" xfId="1" applyFont="1" applyFill="1" applyBorder="1" applyAlignment="1">
      <alignment horizontal="center"/>
    </xf>
    <xf numFmtId="0" fontId="20" fillId="3" borderId="11" xfId="0" applyFont="1" applyFill="1" applyBorder="1" applyAlignment="1">
      <alignment horizontal="left" indent="1"/>
    </xf>
    <xf numFmtId="0" fontId="17" fillId="0" borderId="11" xfId="2" applyFont="1" applyFill="1" applyBorder="1" applyAlignment="1">
      <alignment horizontal="center" vertical="center"/>
    </xf>
    <xf numFmtId="0" fontId="17" fillId="3" borderId="11" xfId="2" applyFont="1" applyFill="1" applyBorder="1" applyAlignment="1">
      <alignment horizontal="left" vertical="center" indent="1"/>
    </xf>
    <xf numFmtId="166" fontId="17" fillId="0" borderId="100" xfId="1" applyNumberFormat="1" applyFont="1" applyFill="1" applyBorder="1" applyAlignment="1" applyProtection="1">
      <alignment vertical="center"/>
    </xf>
    <xf numFmtId="39" fontId="17" fillId="3" borderId="11" xfId="2" applyNumberFormat="1" applyFont="1" applyFill="1" applyBorder="1" applyAlignment="1">
      <alignment horizontal="center" vertical="center"/>
    </xf>
    <xf numFmtId="166" fontId="20" fillId="3" borderId="11" xfId="1" applyNumberFormat="1" applyFont="1" applyFill="1" applyBorder="1" applyAlignment="1" applyProtection="1">
      <alignment vertical="center"/>
    </xf>
    <xf numFmtId="166" fontId="17" fillId="3" borderId="11" xfId="1" applyNumberFormat="1" applyFont="1" applyFill="1" applyBorder="1" applyAlignment="1" applyProtection="1">
      <alignment horizontal="right" vertical="center"/>
    </xf>
    <xf numFmtId="165" fontId="20" fillId="3" borderId="11" xfId="1" applyFont="1" applyFill="1" applyBorder="1" applyAlignment="1" applyProtection="1">
      <alignment vertical="center"/>
    </xf>
    <xf numFmtId="0" fontId="14" fillId="3" borderId="11" xfId="0" applyFont="1" applyFill="1" applyBorder="1" applyAlignment="1">
      <alignment horizontal="left" indent="1"/>
    </xf>
    <xf numFmtId="165" fontId="5" fillId="3" borderId="11" xfId="5" applyFont="1" applyFill="1" applyBorder="1" applyAlignment="1">
      <alignment horizontal="center" vertical="center"/>
    </xf>
    <xf numFmtId="166" fontId="5" fillId="3" borderId="11" xfId="5" applyNumberFormat="1" applyFont="1" applyFill="1" applyBorder="1" applyAlignment="1">
      <alignment vertical="center"/>
    </xf>
    <xf numFmtId="165" fontId="5" fillId="0" borderId="0" xfId="0" applyNumberFormat="1" applyFont="1"/>
    <xf numFmtId="4" fontId="76" fillId="0" borderId="67" xfId="20" applyNumberFormat="1" applyFont="1" applyFill="1" applyBorder="1" applyAlignment="1" applyProtection="1">
      <alignment vertical="center"/>
    </xf>
    <xf numFmtId="4" fontId="5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5" fontId="6" fillId="2" borderId="1" xfId="1" applyFont="1" applyFill="1" applyBorder="1" applyAlignment="1">
      <alignment horizontal="center" vertical="center"/>
    </xf>
    <xf numFmtId="165" fontId="6" fillId="2" borderId="5" xfId="1" applyFont="1" applyFill="1" applyBorder="1" applyAlignment="1">
      <alignment horizontal="center" vertical="center"/>
    </xf>
    <xf numFmtId="165" fontId="11" fillId="0" borderId="0" xfId="1" applyFont="1" applyAlignment="1" applyProtection="1">
      <alignment horizontal="left" vertical="top" wrapText="1"/>
    </xf>
    <xf numFmtId="165" fontId="6" fillId="2" borderId="2" xfId="1" applyFont="1" applyFill="1" applyBorder="1" applyAlignment="1">
      <alignment horizontal="center" vertical="center"/>
    </xf>
    <xf numFmtId="165" fontId="6" fillId="2" borderId="6" xfId="1" applyFont="1" applyFill="1" applyBorder="1" applyAlignment="1">
      <alignment horizontal="center" vertical="center"/>
    </xf>
    <xf numFmtId="3" fontId="26" fillId="0" borderId="0" xfId="16" quotePrefix="1" applyNumberFormat="1" applyFont="1" applyAlignment="1">
      <alignment horizontal="right" vertical="center"/>
    </xf>
    <xf numFmtId="3" fontId="26" fillId="0" borderId="0" xfId="16" applyNumberFormat="1" applyFont="1" applyAlignment="1">
      <alignment horizontal="right" vertical="center"/>
    </xf>
    <xf numFmtId="0" fontId="28" fillId="0" borderId="0" xfId="16" applyFont="1" applyAlignment="1">
      <alignment horizontal="left" vertical="center"/>
    </xf>
    <xf numFmtId="0" fontId="35" fillId="4" borderId="28" xfId="16" applyFont="1" applyFill="1" applyBorder="1" applyAlignment="1">
      <alignment horizontal="center" vertical="center"/>
    </xf>
    <xf numFmtId="0" fontId="35" fillId="4" borderId="32" xfId="16" applyFont="1" applyFill="1" applyBorder="1" applyAlignment="1">
      <alignment horizontal="center" vertical="center"/>
    </xf>
    <xf numFmtId="0" fontId="35" fillId="4" borderId="29" xfId="16" applyFont="1" applyFill="1" applyBorder="1" applyAlignment="1">
      <alignment horizontal="center" vertical="center"/>
    </xf>
    <xf numFmtId="0" fontId="35" fillId="4" borderId="33" xfId="16" applyFont="1" applyFill="1" applyBorder="1" applyAlignment="1">
      <alignment horizontal="center" vertical="center"/>
    </xf>
    <xf numFmtId="39" fontId="35" fillId="4" borderId="29" xfId="16" applyNumberFormat="1" applyFont="1" applyFill="1" applyBorder="1" applyAlignment="1">
      <alignment horizontal="center" vertical="center"/>
    </xf>
    <xf numFmtId="39" fontId="35" fillId="4" borderId="33" xfId="16" applyNumberFormat="1" applyFont="1" applyFill="1" applyBorder="1" applyAlignment="1">
      <alignment horizontal="center" vertical="center"/>
    </xf>
    <xf numFmtId="3" fontId="26" fillId="0" borderId="54" xfId="16" quotePrefix="1" applyNumberFormat="1" applyFont="1" applyBorder="1" applyAlignment="1">
      <alignment horizontal="right" vertical="center"/>
    </xf>
    <xf numFmtId="3" fontId="26" fillId="0" borderId="54" xfId="16" applyNumberFormat="1" applyFont="1" applyBorder="1" applyAlignment="1">
      <alignment horizontal="right" vertical="center"/>
    </xf>
    <xf numFmtId="0" fontId="58" fillId="4" borderId="55" xfId="16" applyFont="1" applyFill="1" applyBorder="1" applyAlignment="1">
      <alignment horizontal="center" vertical="center"/>
    </xf>
    <xf numFmtId="0" fontId="58" fillId="4" borderId="59" xfId="16" applyFont="1" applyFill="1" applyBorder="1" applyAlignment="1">
      <alignment horizontal="center" vertical="center"/>
    </xf>
    <xf numFmtId="0" fontId="58" fillId="4" borderId="56" xfId="16" applyFont="1" applyFill="1" applyBorder="1" applyAlignment="1">
      <alignment horizontal="center" vertical="center"/>
    </xf>
    <xf numFmtId="0" fontId="58" fillId="4" borderId="60" xfId="16" applyFont="1" applyFill="1" applyBorder="1" applyAlignment="1">
      <alignment horizontal="center" vertical="center"/>
    </xf>
    <xf numFmtId="39" fontId="58" fillId="4" borderId="56" xfId="16" applyNumberFormat="1" applyFont="1" applyFill="1" applyBorder="1" applyAlignment="1">
      <alignment horizontal="center" vertical="center"/>
    </xf>
    <xf numFmtId="39" fontId="58" fillId="4" borderId="60" xfId="16" applyNumberFormat="1" applyFont="1" applyFill="1" applyBorder="1" applyAlignment="1">
      <alignment horizontal="center" vertical="center"/>
    </xf>
    <xf numFmtId="0" fontId="66" fillId="0" borderId="0" xfId="16" applyFont="1" applyAlignment="1">
      <alignment horizontal="left"/>
    </xf>
    <xf numFmtId="0" fontId="22" fillId="0" borderId="82" xfId="16" applyFont="1" applyBorder="1" applyAlignment="1">
      <alignment horizontal="left" vertical="center"/>
    </xf>
  </cellXfs>
  <cellStyles count="23">
    <cellStyle name="Comma [0]" xfId="21" builtinId="6"/>
    <cellStyle name="Comma [0] 2" xfId="18" xr:uid="{00000000-0005-0000-0000-000001000000}"/>
    <cellStyle name="Comma [0] 3 27" xfId="6" xr:uid="{00000000-0005-0000-0000-000002000000}"/>
    <cellStyle name="Comma [0] 4" xfId="19" xr:uid="{00000000-0005-0000-0000-000003000000}"/>
    <cellStyle name="Comma 14" xfId="22" xr:uid="{00000000-0005-0000-0000-000004000000}"/>
    <cellStyle name="Comma 15 2" xfId="5" xr:uid="{00000000-0005-0000-0000-000005000000}"/>
    <cellStyle name="Comma 2" xfId="1" xr:uid="{00000000-0005-0000-0000-000006000000}"/>
    <cellStyle name="Comma 2 3" xfId="20" xr:uid="{00000000-0005-0000-0000-000007000000}"/>
    <cellStyle name="Comma 3" xfId="7" xr:uid="{00000000-0005-0000-0000-000008000000}"/>
    <cellStyle name="Comma 4" xfId="8" xr:uid="{00000000-0005-0000-0000-000009000000}"/>
    <cellStyle name="Comma 4 2" xfId="9" xr:uid="{00000000-0005-0000-0000-00000A000000}"/>
    <cellStyle name="Comma 5" xfId="17" xr:uid="{00000000-0005-0000-0000-00000B000000}"/>
    <cellStyle name="Comma 5 17" xfId="10" xr:uid="{00000000-0005-0000-0000-00000C000000}"/>
    <cellStyle name="Comma 54" xfId="11" xr:uid="{00000000-0005-0000-0000-00000D000000}"/>
    <cellStyle name="Normal" xfId="0" builtinId="0"/>
    <cellStyle name="Normal 2" xfId="3" xr:uid="{00000000-0005-0000-0000-00000F000000}"/>
    <cellStyle name="Normal 2 2" xfId="12" xr:uid="{00000000-0005-0000-0000-000010000000}"/>
    <cellStyle name="Normal 2 65" xfId="13" xr:uid="{00000000-0005-0000-0000-000011000000}"/>
    <cellStyle name="Normal 3" xfId="14" xr:uid="{00000000-0005-0000-0000-000012000000}"/>
    <cellStyle name="Normal 4" xfId="16" xr:uid="{00000000-0005-0000-0000-000013000000}"/>
    <cellStyle name="Normal_Perhit Besi2" xfId="4" xr:uid="{00000000-0005-0000-0000-000014000000}"/>
    <cellStyle name="Normal_Victoria" xfId="2" xr:uid="{00000000-0005-0000-0000-000015000000}"/>
    <cellStyle name="Percent 2" xfId="15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9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12" Type="http://schemas.openxmlformats.org/officeDocument/2006/relationships/externalLink" Target="externalLinks/externalLink104.xml"/><Relationship Id="rId16" Type="http://schemas.openxmlformats.org/officeDocument/2006/relationships/externalLink" Target="externalLinks/externalLink8.xml"/><Relationship Id="rId107" Type="http://schemas.openxmlformats.org/officeDocument/2006/relationships/externalLink" Target="externalLinks/externalLink99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123" Type="http://schemas.openxmlformats.org/officeDocument/2006/relationships/externalLink" Target="externalLinks/externalLink115.xml"/><Relationship Id="rId128" Type="http://schemas.openxmlformats.org/officeDocument/2006/relationships/externalLink" Target="externalLinks/externalLink12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113" Type="http://schemas.openxmlformats.org/officeDocument/2006/relationships/externalLink" Target="externalLinks/externalLink105.xml"/><Relationship Id="rId118" Type="http://schemas.openxmlformats.org/officeDocument/2006/relationships/externalLink" Target="externalLinks/externalLink110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externalLink" Target="externalLinks/externalLink95.xml"/><Relationship Id="rId108" Type="http://schemas.openxmlformats.org/officeDocument/2006/relationships/externalLink" Target="externalLinks/externalLink100.xml"/><Relationship Id="rId124" Type="http://schemas.openxmlformats.org/officeDocument/2006/relationships/externalLink" Target="externalLinks/externalLink116.xml"/><Relationship Id="rId129" Type="http://schemas.openxmlformats.org/officeDocument/2006/relationships/theme" Target="theme/theme1.xml"/><Relationship Id="rId54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41.xml"/><Relationship Id="rId114" Type="http://schemas.openxmlformats.org/officeDocument/2006/relationships/externalLink" Target="externalLinks/externalLink106.xml"/><Relationship Id="rId119" Type="http://schemas.openxmlformats.org/officeDocument/2006/relationships/externalLink" Target="externalLinks/externalLink111.xml"/><Relationship Id="rId44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130" Type="http://schemas.openxmlformats.org/officeDocument/2006/relationships/styles" Target="styles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109" Type="http://schemas.openxmlformats.org/officeDocument/2006/relationships/externalLink" Target="externalLinks/externalLink10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2.xml"/><Relationship Id="rId125" Type="http://schemas.openxmlformats.org/officeDocument/2006/relationships/externalLink" Target="externalLinks/externalLink11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110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7.xml"/><Relationship Id="rId131" Type="http://schemas.openxmlformats.org/officeDocument/2006/relationships/sharedStrings" Target="sharedStrings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7.xml"/><Relationship Id="rId126" Type="http://schemas.openxmlformats.org/officeDocument/2006/relationships/externalLink" Target="externalLinks/externalLink11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121" Type="http://schemas.openxmlformats.org/officeDocument/2006/relationships/externalLink" Target="externalLinks/externalLink11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116" Type="http://schemas.openxmlformats.org/officeDocument/2006/relationships/externalLink" Target="externalLinks/externalLink108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111" Type="http://schemas.openxmlformats.org/officeDocument/2006/relationships/externalLink" Target="externalLinks/externalLink103.xml"/><Relationship Id="rId132" Type="http://schemas.openxmlformats.org/officeDocument/2006/relationships/calcChain" Target="calcChain.xml"/><Relationship Id="rId15" Type="http://schemas.openxmlformats.org/officeDocument/2006/relationships/externalLink" Target="externalLinks/externalLink7.xml"/><Relationship Id="rId36" Type="http://schemas.openxmlformats.org/officeDocument/2006/relationships/externalLink" Target="externalLinks/externalLink28.xml"/><Relationship Id="rId57" Type="http://schemas.openxmlformats.org/officeDocument/2006/relationships/externalLink" Target="externalLinks/externalLink49.xml"/><Relationship Id="rId106" Type="http://schemas.openxmlformats.org/officeDocument/2006/relationships/externalLink" Target="externalLinks/externalLink98.xml"/><Relationship Id="rId127" Type="http://schemas.openxmlformats.org/officeDocument/2006/relationships/externalLink" Target="externalLinks/externalLink11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122" Type="http://schemas.openxmlformats.org/officeDocument/2006/relationships/externalLink" Target="externalLinks/externalLink1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26" Type="http://schemas.openxmlformats.org/officeDocument/2006/relationships/externalLink" Target="externalLinks/externalLink1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23</xdr:row>
      <xdr:rowOff>133350</xdr:rowOff>
    </xdr:from>
    <xdr:to>
      <xdr:col>10</xdr:col>
      <xdr:colOff>504071</xdr:colOff>
      <xdr:row>42</xdr:row>
      <xdr:rowOff>94870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3857625"/>
          <a:ext cx="6028571" cy="3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2</xdr:row>
      <xdr:rowOff>95250</xdr:rowOff>
    </xdr:from>
    <xdr:to>
      <xdr:col>10</xdr:col>
      <xdr:colOff>58861</xdr:colOff>
      <xdr:row>20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419100"/>
          <a:ext cx="5621461" cy="293370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45</xdr:row>
      <xdr:rowOff>95250</xdr:rowOff>
    </xdr:from>
    <xdr:to>
      <xdr:col>10</xdr:col>
      <xdr:colOff>285025</xdr:colOff>
      <xdr:row>49</xdr:row>
      <xdr:rowOff>152312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7381875"/>
          <a:ext cx="5800000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52</xdr:row>
      <xdr:rowOff>76200</xdr:rowOff>
    </xdr:from>
    <xdr:to>
      <xdr:col>12</xdr:col>
      <xdr:colOff>227728</xdr:colOff>
      <xdr:row>75</xdr:row>
      <xdr:rowOff>190020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8496300"/>
          <a:ext cx="6971428" cy="3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79</xdr:row>
      <xdr:rowOff>104775</xdr:rowOff>
    </xdr:from>
    <xdr:to>
      <xdr:col>12</xdr:col>
      <xdr:colOff>227730</xdr:colOff>
      <xdr:row>107</xdr:row>
      <xdr:rowOff>85161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5" y="12896850"/>
          <a:ext cx="6961905" cy="4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111</xdr:row>
      <xdr:rowOff>28575</xdr:rowOff>
    </xdr:from>
    <xdr:to>
      <xdr:col>11</xdr:col>
      <xdr:colOff>37745</xdr:colOff>
      <xdr:row>131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8002250"/>
          <a:ext cx="6076595" cy="3295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IMA\PROYEK%20SIPIL\SENJATA\ANALISA%20HARSAT%20BINA%20MARGA%202008\02%20-%20SOFTWARE\AHS%20SPEC%20DES%2020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%202009\Gelanggang%20Olahraga%20Sabang%20Merauke%20(tahap%20I)%20SABANG\RAB%20Gelanggang%20Olahraga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erc-RAB%20Usulan%202005\Wilayah%20-%20II\Rab%20Kr.%20Tiro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MUNIR,ST\hias\TANAMAN%20HIAS\RAB%20hias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PJ\RAB_Bina%20Marga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EFRAD\DATA%20CAMPURAN\SURAT-SURAT\Project%202010\Kontrak%20Pipa%20Jurong%20Ara\CV.%20BARIQ\master%20penawaran\jakir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TENDER2X\RusunYogyaSolo\aNALISAyogyasolo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ocuments%20and%20Settings\user\My%20Documents\LAP%20HARGA%20SAT\ANL%20HARGA%20SATUAN\EXCEL-PAHS\PANDUAN%20BQ\EE%20FO%20Pamanukan\3-DIV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DIKUMPULKAN%20SEMUA%20FILE\HARDISK%20BUDI\Tender\D.I%20%20JEURAM\DI.%20jeuram-2(KG)Revisi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RAP\ALISA-RAP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ocuments%20and%20Settings\TOSHIBA\Desktop\pen-colek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INUN\ANALISA%20GEDUNG%202013\CAIXA%20&amp;%20HUSNI\CONSULTANT%20FILE\ANALISA%20STANDAR%20BINA%20MARGA\BINA%20MARGA%20FILE\OE-EE\6-AGG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Putra\Sigli\FILE%20DARI%20KONTRAKTOR\Data%20FLASH\256%20MB\KSH%20Bireuen\KSH%20Kuta%20Cot\4-BASIC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dan%20K%20Bireuen\lhok%20awe\RAB%20KMWC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nder\P033-3%20Surade%20Tegalbuleud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ounna%20Fayshal\My%20Box\My%20Document\Pounna%20Fayshal\Recy%20NT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ETTY\CHAI\pt.%20jasa%20adek%20edit\pengaman%20tebing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umah%20Sekolah%20Terbakar\MASTER%20RAB%20SEKOLAH%20TERBAKAR%20DIMENSI%2004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\dikmenjur\rab%20smk%20blang%20pidie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16072005\EMA\Ema\TENDER\PENAWARAN-IRIGASI\D.I.%20MANGGENG\DI.%20Meuredu%20Paket%20I-1\DI.%20Meuredu%20Paket%20I-1%202okt0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Putra\Sigli\FILE%20DARI%20KONTRAKTOR\2008\Penawaran\Jalan%20Glp.%20Tiga\My%20Documents\Porda%20Revisi\PORDA%20(Baro%20Raya)\Jalan%20masuk%20lap%20tenis%20baro%20raya.xl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Hermadi\Desktop\hermadi\Bola%20Kali\My%20Documents\EE%20%20SD%20AIR%20PINA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User\My%20Documents\BQ%20rUSUN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Mursal\EXEL%20RAB\B.Ar-Puskesmas%20LT.2\RS%20Jiwa\Pembangunan%20RSJ%20Tahap%20I\Perhit%20Bes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\DATA%20PEUSAHAAN\TAHUN%202012\KABUPATEN%20BIREUEN\WAGGAS\DINAS%20KESEHATAN\Eri%20%20Mitra%20%20Kampus%20Penawaran\Garot\RAB.%20CV.%20MONIT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OLTEKKES\WM%20ISLAMIC\RAB%20ISLAMIC%20CENTER%20W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SETUI\5-ALA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\DATA%20PEUSAHAAN\TAHUN%202012\KABUPATEN%20BIREUEN\KONSULTAN\DINAS%20PENDIDIKAN\EE%20PAGAR%20ASKIYA\REVISI\Eri%20%20Mitra%20%20Kampus%20Penawaran\Garot\RAB.%20CV.%20MONIT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%20BARU\BQ%20%20%20PROYEK2\CITRALAND%20%20SURABAYA\BANG%202006\PEN%202006\HAR-II-I\CEMEMEH%20A..H\PENAWARAN\oe-2004\Penawaran%202004\BANG-01%20B\pen-01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AP\ALISA-RA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AKET%20ULIM%20KSH%20F%20-%2034\PAKET%20KSH%20F%20-%203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HS%20Struktur%20Jalan%20Blangpidie%20-%20Bts.%20Kota%20Tapaktu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~1\USE~1.R\LOCALS~1\Temp\Eri%20%20Mitra%20%20Kampus%20Penawaran\Garot\RAB.%20CV.%20MONI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dr%20PU\FIKRI_POENYA\pen-01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PBN\Seksi%20VIII%20Pe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PBN\TENDER\OE%20Dumagi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BOQ%20JALAN%20BMCK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RAP\ALISA-RA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APBA%202008\MASTER%20DATA%20LELANG%202008\MASTER%20-%20OE%202008%20(Blm%20Pasti)\OE-ECR3%20New%20tgl%2028Nop\3-DIV7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PAKET%20ULIM%20KSH%20F%20-%2034\PAKET%20KSH%20F%20-%20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eh%20Utara\PROGRES%20EXPOSE%20S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~1\USER\LOCALS~1\Temp\Rar$DI44.125\rab--PAKET%20IV%20-%20CARDIA%20R.PERDA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py%20of%20Jembatan%20Laguna%20PT.%20Pontia%20(DUA)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_PROJECT\A.%20PROJECT\BALMON%20KLASS%20II%20NAD\PROJECT%20PAGAR%20BALMON\Data%20Rocky\TERMINAL%20CALANG\PT.%20KUMALA%20RAY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EFRAD\DATA%20CAMPURAN\SURAT-SURAT\WVI\Bangunan\Volume\Volume%20Jen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Tender\P033-3%20Surade%20Tegalbuleu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TENDER\SRRP\Rab-Karo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U%20ACEH%20UTARA\BOQ%20JALAN%20SP%20KERAMAT-B.RAYA%20MANCANG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AS%20PU\JALAN%202009\FD-I.ONES\BEPE%20FILE'S\MASTER%20ANALISA-IONES\ANALISA%202005%20ASLI\6-AGGR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dr%20PU\FIKRI_POENYA\Pen-Bang-halo2-sakorind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cdoc\kaltim\My_RAB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RENCANAAN\Rab%20PLPK\DURP-TAPAKTUAN-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perkerasan%20jalanmmmlllllllmm\JETTY\CHAI\pt.%20jasa%20adek%20edit\pengaman%20teb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MAMAN\mita%20peng\PT.HARMACO\penawaran%20uploa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Putra\Sigli\FILE%20DARI%20KONTRAKTOR\Pengawasan%20BRR\Kantor%20Pos%20Sigli\Rab%20Pos%20sigli%20baru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OE%202007\PENINGKATAN%20KAB.%20ROHUL\38-DIV101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RERE\LELANG\OE%20LBT%202005\OE-LBT%2003A%202005\3-DIV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%20E%20R%20I\DIK%20PORA\SEKOLAH%20TERBAKAR\Rehab%20SMUN%20Meukek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%20E%20R%20I\DIK%20PORA\SEKOLAH%20TERBAKAR\Rehab%20SMUN%20Bakong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ERJA\KERJA\UP\TENDER\PAKUWON\GIFFORD\ANALISA%20HARGA%20PAKUWO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ZULFAN\zulfan\Irigasi\TENDER\JLN%20MALIKUSSALEH\RAB%20JLN%20MALIKUSSALEH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du\dadu%20D\LAPORAN%20CIANJUR\Laporan%20progress\Laporan%20Bulan-1\Data%20Laptop\FILE%20(G)\Proyek%202008\2008%20Bapusda\LEBEL%201\rAB%20&amp;%20bQ\Rab%20PaMdK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Iwan%20File\BQ-PT.%20Prhs%20Gas%20Negar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RAB-2008\DISPENDA%20JABAR\Data\Tim-Swakelola\RAB\ANALISA-JAD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N%20ASLI%20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Hartono%20W\Tender\Emerald\Marcelia\Pakis%20Marceli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ak%20Muhammad\MHD%20(Rab%20Kon%20Penawaran)\Pak%20Muhammad\RAB%20EE%201%20%20IGD%20RSU%20Sigl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%20U%20F%20F%20I%20L\S%20E%20T%20D%20A%20K%20A%20B\BAGIAN%20UMUM\KANTOR%20CAMAT%20(ASEL)\2%200%200%204\Rencana\RAB%20KTR%20CMT%20400%2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DIKUMPULKAN%20SEMUA%20FILE\HARDISK%20BUDI\Tender\BANDA%20ACEH%202005\DI%20PANTEE%20LHONG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Kuliah%20Adventiaaaa\AHS\Ahsp%202016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ahril\disk2%20(d)%20punya%20syahril\Data%20Mursal\EXEL%20RAB\B.Ar-Puskesmas%20LT.2\RS%20Jiwa\Pembangunan%20RSJ%20Tahap%20I\Perhit%20Besi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ahril\disk2%20(d)%20punya%20syahril\Data%20Mursal\EXEL%20RAB\B.Ar-Puskesmas%20LT.2\RS%20Jiwa\Pembangunan%20RSJ%20Tahap%20I\drive%20D%20Ganessa\GANESSA\DATA%20MASING-MASING\MURSALIN\Perhitungan%20Volume\RAB_Kimpraswil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ARZUKI\PENAWARAN%20PROYEK\Penawaran%202007\Paket%20Aceh%20Utara\Irigasi%20Kr.Pase%20Kn\Penwr.D.I.%20Pase%20K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FILES\Wilayah%20IV\Boss\HPS%20LABUHAN%20HAJI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%20A%20B\TVRI\D_HANGGAR\Copy%20of%20BQ%201%20Hanggar%20Ok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NVT%20BANG%20NAD\BANG%202011\PANITIA%202011\OE%20STA.%20MAHMUDSYAH\HPS%20WILAYAH%20II%20FINAL\HPS-ALAIDIMAHMUDSYAH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EFRAD\DATA%20CAMPURAN\SURAT-SURAT\WVI\Bangunan\Volume\Volume%20Jeni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DIKUMPULKAN%20SEMUA%20FILE\HARDISK%20BUDI\Tender\BANDA%20ACEH%202005\DI%20PANTEE%20LHONG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TOSHIBA\Desktop\pen-colek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PAKET%20ULIM%20KSH%20F%20-%2034\PAKET%20KSH%20F%20-%2034%20multi%20revisi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ckup%20data%20des%2007\Backup%20Flash%20%2018%20Agustus%202007\Penawaran%202\Data%203\Backup%20Flash\Penawaran%20Irigasi%20DUTA%20ARUN\master%20ALAT%20BERA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Tender\P033-3%20Surade%20Tegalbuleud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Konsultan2001\Steiger\Excel\ATAN\Sukirno\data\Sabri\Sabri\SD%20MI\Acun\Bukit%20Abas%20021\Budhi%20Guna%20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ab-samsat-babel-fina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qint%201207bsk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NEW_DATA\AKOE\gdg.Keu.NAD\RAB_GKN_NAD_final\RA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PS%20WILAYAH%20II%20FINAL\HPS-ALAIDIMAHMUDSYAH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Tender\LG%20-%2003B\JALAN-LG-03B-REVISI%2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Perhitungan%20bobo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BI%20PALAWIJA%20Tuah%20Alam\Penawaran%20BBI%20Tuah%20Alam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PAHS2006\Copy%20of%20PAHS2006%20R2%20draft(MIS)new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16072005\EMA\Ema\TENDER\PENAWARAN-IRIGASI\D.I.%20MANGGENG\DI.%20Meuredu%20Paket%20I-1\DI.%20Meuredu%20Paket%20I-1%202okt03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Hermadi\Desktop\hermadi\Bola%20Kali\kajari\New%20Folder\RAB%20Tebing%20Kr.%20Kluet%20I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PENTING\Penawaran%202006\Abadi\DATA%20PENTING\Penawaran%202006\Fauzan\JARING\AD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INAS%20KES.%20HEWAN%20&amp;%20TERNAK\MUNIR,ST\hias\TANAMAN%20HIAS\RAB%20hia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2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perkerasan%20jalanmmmlllllllmm\surya\SSSS\5-ALA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4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5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%20U%20F%20F%20I%20L\TA%20-%202004\DIK%20PORA\DATA%20MASUK%20MARET%2004\SMU%203%20LK\My%20Documents\2000\DURP\Rambong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Yoez\Aceh%202\BQ-LG%2001%20A%20PANITIA-P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YENNY\DAK%202004\JOB%202003\My%20Documents\terminal%20grong-grong\Porda%20Revisi\PORDA%20(Baro%20Raya)\Jalan%20masuk%20lap%20tenis%20baro%20raya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NDER%202008\PAKET%20OTSUS%20+%20REGULER%20+%20MIGAS\OWNER'S%20ESTIMATE\OE%20PADANG%20TIJI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AKET%206%20-%20ULEE%20LHEUE%203750-8200\3-DIV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Tender\LG%20-%2003B\JALAN-LG-03B-REVISI%20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IPTA%20KARYA%20ACEH\KEGIATAN%20TAHUN%202019\PERHITUNGAN%20BPJ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rya\SSSS\5-ALAT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oelkerja\RAB%20Coll\Rab%20UGD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My%20Documents\YUSRI\RUMAH%20mesin5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My%20Documents\YUSRI\RUMAH%20mesin6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%20PENDUKUNG%200\THOMS@FW%20BANDA%20ACEH\PROGRESS%20REPORT\MONTHLY%20REPORT\1-SUPARMAN\Package-I-ADHY%20KARYA\Data-130106\Documents%20and%20Settings\Toshiba\My%20Documents\RAHMAD%20H\JICS\2-BID-JICS%200708%2024%20oct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FLASS%20OM%20ADEK\ZULHAQ%20(F)\multi%20putra%20inti\RAB%20jalan%20revisi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DIKUMPULKAN%20SEMUA%20FILE\HARDISK%20BUDI\Tender\D.I%20%20JEURAM\DI.%20jeuram-2(KG)Revisi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%20U%20F%20F%20I%20L\TA%20-%202002\ANALISA%202002\ANALISA%202002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~1\USE~1.R\LOCALS~1\Temp\Data\Mast.Anl.Bangunan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Softcopy\Fulerton\Recital\Pakis-T%20Reci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>
        <row r="19">
          <cell r="G19">
            <v>1353030000</v>
          </cell>
        </row>
        <row r="37">
          <cell r="G37">
            <v>19883254.907401443</v>
          </cell>
        </row>
        <row r="60">
          <cell r="G60">
            <v>2814678.728536048</v>
          </cell>
        </row>
        <row r="73">
          <cell r="G73">
            <v>1805173.5808807041</v>
          </cell>
        </row>
        <row r="86">
          <cell r="G86">
            <v>2155514.8537545586</v>
          </cell>
        </row>
        <row r="124">
          <cell r="G124">
            <v>26754834.324554987</v>
          </cell>
        </row>
        <row r="225">
          <cell r="G225">
            <v>318147649.39314324</v>
          </cell>
        </row>
        <row r="275">
          <cell r="G275">
            <v>40905140.635936216</v>
          </cell>
        </row>
        <row r="301">
          <cell r="G301">
            <v>4672264.4242790667</v>
          </cell>
        </row>
        <row r="312">
          <cell r="G312">
            <v>216004878.56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>
        <row r="8">
          <cell r="F8">
            <v>4532.3142857142857</v>
          </cell>
        </row>
        <row r="9">
          <cell r="F9">
            <v>5963.5714285714284</v>
          </cell>
        </row>
        <row r="10">
          <cell r="F10">
            <v>7156.2857142857147</v>
          </cell>
        </row>
        <row r="70">
          <cell r="F70">
            <v>5500</v>
          </cell>
        </row>
        <row r="71">
          <cell r="F71">
            <v>1250000</v>
          </cell>
        </row>
        <row r="90">
          <cell r="F90">
            <v>973593.01274346234</v>
          </cell>
        </row>
        <row r="91">
          <cell r="F91">
            <v>8500</v>
          </cell>
        </row>
        <row r="98">
          <cell r="F98">
            <v>110200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9">
          <cell r="G19">
            <v>8480000</v>
          </cell>
        </row>
        <row r="37">
          <cell r="G37">
            <v>19883254.907401443</v>
          </cell>
        </row>
        <row r="86">
          <cell r="G86">
            <v>2155514.8537545586</v>
          </cell>
        </row>
        <row r="124">
          <cell r="G124">
            <v>26754834.324554987</v>
          </cell>
        </row>
        <row r="225">
          <cell r="G225">
            <v>318147649.39314324</v>
          </cell>
        </row>
        <row r="275">
          <cell r="G275">
            <v>40905140.635936216</v>
          </cell>
        </row>
        <row r="301">
          <cell r="G301">
            <v>4672264.4242790667</v>
          </cell>
        </row>
        <row r="312">
          <cell r="G312">
            <v>216004878.56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8">
          <cell r="F8">
            <v>4532.3142857142857</v>
          </cell>
        </row>
        <row r="9">
          <cell r="F9">
            <v>5963.5714285714284</v>
          </cell>
        </row>
        <row r="10">
          <cell r="F10">
            <v>7156.2857142857147</v>
          </cell>
        </row>
        <row r="53">
          <cell r="F53">
            <v>210171.86073869557</v>
          </cell>
        </row>
        <row r="54">
          <cell r="F54">
            <v>210171.86073869557</v>
          </cell>
        </row>
        <row r="60">
          <cell r="F60">
            <v>6400</v>
          </cell>
        </row>
        <row r="61">
          <cell r="F61">
            <v>1650</v>
          </cell>
        </row>
        <row r="67">
          <cell r="F67">
            <v>140000</v>
          </cell>
        </row>
        <row r="70">
          <cell r="F70">
            <v>5500</v>
          </cell>
        </row>
        <row r="71">
          <cell r="F71">
            <v>1250000</v>
          </cell>
        </row>
        <row r="78">
          <cell r="F78">
            <v>245166.35687497546</v>
          </cell>
        </row>
        <row r="79">
          <cell r="F79">
            <v>226389.8792236358</v>
          </cell>
        </row>
        <row r="85">
          <cell r="F85">
            <v>12000</v>
          </cell>
        </row>
        <row r="90">
          <cell r="F90">
            <v>973593.01274346234</v>
          </cell>
        </row>
        <row r="91">
          <cell r="F91">
            <v>8500</v>
          </cell>
        </row>
        <row r="98">
          <cell r="F98">
            <v>110200</v>
          </cell>
        </row>
        <row r="101">
          <cell r="F101">
            <v>638182.22457581107</v>
          </cell>
        </row>
        <row r="102">
          <cell r="F102">
            <v>11000</v>
          </cell>
        </row>
      </sheetData>
      <sheetData sheetId="27" refreshError="1"/>
      <sheetData sheetId="28" refreshError="1"/>
      <sheetData sheetId="29" refreshError="1">
        <row r="9">
          <cell r="AW9">
            <v>869616.53891640902</v>
          </cell>
        </row>
        <row r="12">
          <cell r="AW12">
            <v>111049.38270398851</v>
          </cell>
        </row>
        <row r="13">
          <cell r="AW13">
            <v>133800.43704318939</v>
          </cell>
        </row>
        <row r="14">
          <cell r="AW14">
            <v>543727.91278538224</v>
          </cell>
        </row>
        <row r="15">
          <cell r="AW15">
            <v>164696.38269006539</v>
          </cell>
        </row>
        <row r="16">
          <cell r="AW16">
            <v>337926.6423559105</v>
          </cell>
        </row>
        <row r="17">
          <cell r="AW17">
            <v>383252.00767367752</v>
          </cell>
        </row>
        <row r="18">
          <cell r="AW18">
            <v>330875.07599656604</v>
          </cell>
        </row>
        <row r="20">
          <cell r="AW20">
            <v>343794.00391593983</v>
          </cell>
        </row>
        <row r="22">
          <cell r="AW22">
            <v>266795.62207187875</v>
          </cell>
        </row>
        <row r="23">
          <cell r="AW23">
            <v>162603.45236983357</v>
          </cell>
        </row>
        <row r="24">
          <cell r="AW24">
            <v>401348.47929273802</v>
          </cell>
        </row>
        <row r="30">
          <cell r="AW30">
            <v>161074.00271095007</v>
          </cell>
        </row>
        <row r="34">
          <cell r="AW34">
            <v>1032079.1901457378</v>
          </cell>
        </row>
        <row r="36">
          <cell r="AW36">
            <v>367471.4576303364</v>
          </cell>
        </row>
        <row r="38">
          <cell r="AW38">
            <v>359970.50961916702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RAB"/>
      <sheetName val="ANALISA HARGA"/>
      <sheetName val="analisa asli"/>
      <sheetName val="HARGA BAHAN"/>
      <sheetName val="KURVA S"/>
    </sheetNames>
    <sheetDataSet>
      <sheetData sheetId="0">
        <row r="12">
          <cell r="E12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(2)"/>
      <sheetName val="RAB TUGU"/>
      <sheetName val="Cover"/>
      <sheetName val="Rekap"/>
      <sheetName val="Rab"/>
      <sheetName val="Jbt"/>
      <sheetName val="Jbt2"/>
      <sheetName val="An. HS"/>
      <sheetName val="BOW"/>
      <sheetName val="Upah&amp;Bhn "/>
      <sheetName val="Anl Tkn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M11">
            <v>19900</v>
          </cell>
        </row>
        <row r="25">
          <cell r="M25">
            <v>76000</v>
          </cell>
        </row>
        <row r="28">
          <cell r="M28">
            <v>6000</v>
          </cell>
        </row>
        <row r="29">
          <cell r="M29">
            <v>1900</v>
          </cell>
        </row>
        <row r="45">
          <cell r="M45">
            <v>79400</v>
          </cell>
        </row>
        <row r="80">
          <cell r="L80">
            <v>45000</v>
          </cell>
        </row>
        <row r="81">
          <cell r="L81">
            <v>50000</v>
          </cell>
        </row>
        <row r="85">
          <cell r="L85">
            <v>60000</v>
          </cell>
        </row>
        <row r="86">
          <cell r="L86">
            <v>50000</v>
          </cell>
        </row>
        <row r="88">
          <cell r="L88">
            <v>50000</v>
          </cell>
        </row>
        <row r="89">
          <cell r="L89">
            <v>40000</v>
          </cell>
        </row>
        <row r="91">
          <cell r="L91">
            <v>30000</v>
          </cell>
        </row>
        <row r="92">
          <cell r="L92">
            <v>32500</v>
          </cell>
        </row>
        <row r="93">
          <cell r="L93">
            <v>35000</v>
          </cell>
        </row>
      </sheetData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BQ"/>
      <sheetName val="Daftar Analisa"/>
      <sheetName val="Upah"/>
      <sheetName val="KURVA S"/>
      <sheetName val="Satuan"/>
      <sheetName val="Upah (2)"/>
      <sheetName val="Sheet1"/>
      <sheetName val="TOR"/>
      <sheetName val="srt tawar"/>
      <sheetName val="KULIT"/>
    </sheetNames>
    <sheetDataSet>
      <sheetData sheetId="0"/>
      <sheetData sheetId="1"/>
      <sheetData sheetId="2"/>
      <sheetData sheetId="3">
        <row r="10">
          <cell r="M10">
            <v>132090</v>
          </cell>
        </row>
        <row r="12">
          <cell r="M12">
            <v>148750</v>
          </cell>
        </row>
        <row r="13">
          <cell r="M13">
            <v>106250</v>
          </cell>
        </row>
        <row r="14">
          <cell r="M14">
            <v>129200</v>
          </cell>
        </row>
        <row r="15">
          <cell r="M15">
            <v>129200</v>
          </cell>
        </row>
        <row r="16">
          <cell r="M16">
            <v>129200</v>
          </cell>
        </row>
        <row r="17">
          <cell r="M17">
            <v>148750</v>
          </cell>
        </row>
        <row r="18">
          <cell r="M18">
            <v>148750</v>
          </cell>
        </row>
        <row r="19">
          <cell r="M19">
            <v>148750</v>
          </cell>
        </row>
        <row r="20">
          <cell r="M20">
            <v>148750</v>
          </cell>
        </row>
        <row r="21">
          <cell r="M21">
            <v>114750</v>
          </cell>
        </row>
        <row r="22">
          <cell r="M22">
            <v>136000</v>
          </cell>
        </row>
        <row r="23">
          <cell r="M23">
            <v>74375</v>
          </cell>
        </row>
        <row r="25">
          <cell r="M25">
            <v>17000</v>
          </cell>
        </row>
        <row r="26">
          <cell r="M26">
            <v>63750</v>
          </cell>
        </row>
        <row r="29">
          <cell r="M29">
            <v>722500</v>
          </cell>
        </row>
        <row r="30">
          <cell r="M30">
            <v>39100</v>
          </cell>
        </row>
        <row r="31">
          <cell r="M31">
            <v>731000</v>
          </cell>
        </row>
        <row r="32">
          <cell r="M32">
            <v>31025</v>
          </cell>
        </row>
        <row r="33">
          <cell r="M33">
            <v>14110</v>
          </cell>
        </row>
        <row r="34">
          <cell r="M34">
            <v>1657500</v>
          </cell>
        </row>
        <row r="35">
          <cell r="M35">
            <v>21250</v>
          </cell>
        </row>
        <row r="36">
          <cell r="M36">
            <v>19125</v>
          </cell>
        </row>
        <row r="37">
          <cell r="M37">
            <v>16150</v>
          </cell>
        </row>
        <row r="38">
          <cell r="M38">
            <v>140250</v>
          </cell>
        </row>
        <row r="42">
          <cell r="M42">
            <v>19550</v>
          </cell>
        </row>
        <row r="43">
          <cell r="M43">
            <v>19635</v>
          </cell>
        </row>
        <row r="44">
          <cell r="M44">
            <v>11772.5</v>
          </cell>
        </row>
        <row r="47">
          <cell r="M47">
            <v>2082500</v>
          </cell>
        </row>
        <row r="48">
          <cell r="M48">
            <v>2762500</v>
          </cell>
        </row>
        <row r="83">
          <cell r="L83">
            <v>50000</v>
          </cell>
        </row>
        <row r="84">
          <cell r="L84">
            <v>60000</v>
          </cell>
        </row>
        <row r="85">
          <cell r="L85">
            <v>55000</v>
          </cell>
        </row>
        <row r="88">
          <cell r="L88">
            <v>35000</v>
          </cell>
        </row>
        <row r="91">
          <cell r="L91">
            <v>45000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YogyadanSolo"/>
      <sheetName val="har-sat"/>
      <sheetName val="dashboard"/>
    </sheetNames>
    <sheetDataSet>
      <sheetData sheetId="0"/>
      <sheetData sheetId="1">
        <row r="3">
          <cell r="K3">
            <v>0.1</v>
          </cell>
        </row>
      </sheetData>
      <sheetData sheetId="2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)"/>
      <sheetName val="Analisa (ok)"/>
      <sheetName val="Rekap"/>
      <sheetName val="Kuan&amp;Harga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/>
      <sheetData sheetId="1"/>
      <sheetData sheetId="2"/>
      <sheetData sheetId="3">
        <row r="39">
          <cell r="I3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</sheetNames>
    <sheetDataSet>
      <sheetData sheetId="0" refreshError="1">
        <row r="13">
          <cell r="I13" t="str">
            <v>%</v>
          </cell>
        </row>
        <row r="14">
          <cell r="I14" t="str">
            <v>%</v>
          </cell>
        </row>
        <row r="15">
          <cell r="I15" t="str">
            <v>%</v>
          </cell>
        </row>
        <row r="16">
          <cell r="I16" t="str">
            <v>%</v>
          </cell>
        </row>
        <row r="17">
          <cell r="I17" t="str">
            <v>Ton/M3</v>
          </cell>
        </row>
        <row r="18">
          <cell r="I18" t="str">
            <v>Ton/M3</v>
          </cell>
        </row>
        <row r="19">
          <cell r="I19" t="str">
            <v>Ton/M3</v>
          </cell>
        </row>
        <row r="20">
          <cell r="I20" t="str">
            <v>Rp./M3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Price"/>
      <sheetName val="jadwal"/>
      <sheetName val="jadwal Alat"/>
    </sheetNames>
    <sheetDataSet>
      <sheetData sheetId="0">
        <row r="14">
          <cell r="F14">
            <v>8500</v>
          </cell>
        </row>
        <row r="16">
          <cell r="F16">
            <v>7000</v>
          </cell>
        </row>
        <row r="18">
          <cell r="F18">
            <v>7800</v>
          </cell>
        </row>
        <row r="20">
          <cell r="F20">
            <v>7000</v>
          </cell>
        </row>
        <row r="22">
          <cell r="F22">
            <v>7000</v>
          </cell>
        </row>
        <row r="24">
          <cell r="F24">
            <v>6400</v>
          </cell>
        </row>
        <row r="26">
          <cell r="F26">
            <v>7000</v>
          </cell>
        </row>
        <row r="43">
          <cell r="A43" t="str">
            <v>DAFTAR</v>
          </cell>
        </row>
        <row r="44">
          <cell r="A44" t="str">
            <v>HARGA DASAR SATUAN BAHAN</v>
          </cell>
        </row>
        <row r="46">
          <cell r="F46" t="str">
            <v>HARGA</v>
          </cell>
        </row>
        <row r="47">
          <cell r="A47" t="str">
            <v>No.</v>
          </cell>
          <cell r="B47" t="str">
            <v>U R A I A N</v>
          </cell>
          <cell r="D47" t="str">
            <v>KODE</v>
          </cell>
          <cell r="E47" t="str">
            <v>SATUAN</v>
          </cell>
          <cell r="F47" t="str">
            <v>SATUAN</v>
          </cell>
          <cell r="G47" t="str">
            <v>KETERANGAN</v>
          </cell>
        </row>
        <row r="48">
          <cell r="F48" t="str">
            <v>( Rp.)</v>
          </cell>
        </row>
        <row r="50">
          <cell r="A50" t="str">
            <v>1.</v>
          </cell>
          <cell r="C50" t="str">
            <v>P a s i r</v>
          </cell>
          <cell r="D50" t="str">
            <v>M01</v>
          </cell>
          <cell r="E50" t="str">
            <v>M3</v>
          </cell>
          <cell r="F50">
            <v>65000</v>
          </cell>
        </row>
        <row r="52">
          <cell r="A52" t="str">
            <v>2.</v>
          </cell>
          <cell r="C52" t="str">
            <v>Batu Kali</v>
          </cell>
          <cell r="D52" t="str">
            <v>M02</v>
          </cell>
          <cell r="E52" t="str">
            <v>M3</v>
          </cell>
          <cell r="F52">
            <v>65000</v>
          </cell>
        </row>
        <row r="54">
          <cell r="A54" t="str">
            <v>3.</v>
          </cell>
          <cell r="C54" t="str">
            <v>Agregat Kasar</v>
          </cell>
          <cell r="D54" t="str">
            <v>M03</v>
          </cell>
          <cell r="E54" t="str">
            <v>M3</v>
          </cell>
          <cell r="F54">
            <v>108860.47762478486</v>
          </cell>
        </row>
        <row r="56">
          <cell r="A56" t="str">
            <v>4.</v>
          </cell>
          <cell r="C56" t="str">
            <v>Agregat Halus</v>
          </cell>
          <cell r="D56" t="str">
            <v>M04</v>
          </cell>
          <cell r="E56" t="str">
            <v>M3</v>
          </cell>
          <cell r="F56">
            <v>108421.71543316121</v>
          </cell>
        </row>
        <row r="58">
          <cell r="A58" t="str">
            <v>5.</v>
          </cell>
          <cell r="C58" t="str">
            <v>F i l l e r</v>
          </cell>
          <cell r="D58" t="str">
            <v>M05</v>
          </cell>
          <cell r="E58" t="str">
            <v>Kg</v>
          </cell>
          <cell r="F58">
            <v>800</v>
          </cell>
        </row>
        <row r="60">
          <cell r="A60" t="str">
            <v>6.</v>
          </cell>
          <cell r="C60" t="str">
            <v>Batu Belah / Kerakal</v>
          </cell>
          <cell r="D60" t="str">
            <v>M06</v>
          </cell>
          <cell r="E60" t="str">
            <v>M3</v>
          </cell>
          <cell r="F60">
            <v>65000</v>
          </cell>
        </row>
        <row r="62">
          <cell r="A62" t="str">
            <v>7.</v>
          </cell>
          <cell r="C62" t="str">
            <v>G r a v e l</v>
          </cell>
          <cell r="D62" t="str">
            <v>M07</v>
          </cell>
          <cell r="E62" t="str">
            <v>M3</v>
          </cell>
          <cell r="F62">
            <v>65000</v>
          </cell>
        </row>
        <row r="64">
          <cell r="A64" t="str">
            <v>8.</v>
          </cell>
          <cell r="C64" t="str">
            <v>Bahan Tanah Timbunan</v>
          </cell>
          <cell r="D64" t="str">
            <v>M08</v>
          </cell>
          <cell r="E64" t="str">
            <v>M3</v>
          </cell>
          <cell r="F64">
            <v>5000</v>
          </cell>
        </row>
        <row r="66">
          <cell r="A66" t="str">
            <v>9.</v>
          </cell>
          <cell r="C66" t="str">
            <v>Bahan Pilihan</v>
          </cell>
          <cell r="D66" t="str">
            <v>M09</v>
          </cell>
          <cell r="E66" t="str">
            <v>M3</v>
          </cell>
          <cell r="F66">
            <v>20000</v>
          </cell>
        </row>
        <row r="68">
          <cell r="A68" t="str">
            <v>10.</v>
          </cell>
          <cell r="C68" t="str">
            <v>Aspal Cement</v>
          </cell>
          <cell r="D68" t="str">
            <v>M10</v>
          </cell>
          <cell r="E68" t="str">
            <v>KG</v>
          </cell>
          <cell r="F68">
            <v>5000</v>
          </cell>
        </row>
        <row r="70">
          <cell r="A70" t="str">
            <v>11.</v>
          </cell>
          <cell r="C70" t="str">
            <v>Kerosen / Minyak Tanah</v>
          </cell>
          <cell r="D70" t="str">
            <v>M11</v>
          </cell>
          <cell r="E70" t="str">
            <v>LITER</v>
          </cell>
          <cell r="F70">
            <v>2800</v>
          </cell>
        </row>
        <row r="72">
          <cell r="A72" t="str">
            <v>12.</v>
          </cell>
          <cell r="C72" t="str">
            <v>Semen / PC  (50kg)</v>
          </cell>
          <cell r="D72" t="str">
            <v>M12</v>
          </cell>
          <cell r="E72" t="str">
            <v>Zak</v>
          </cell>
          <cell r="F72">
            <v>33750</v>
          </cell>
        </row>
        <row r="73">
          <cell r="D73" t="str">
            <v>M12</v>
          </cell>
          <cell r="E73" t="str">
            <v>Kg</v>
          </cell>
          <cell r="F73">
            <v>675</v>
          </cell>
        </row>
        <row r="74">
          <cell r="A74" t="str">
            <v>13.</v>
          </cell>
          <cell r="C74" t="str">
            <v>Besi Beton</v>
          </cell>
          <cell r="D74" t="str">
            <v>M13</v>
          </cell>
          <cell r="E74" t="str">
            <v>Kg</v>
          </cell>
          <cell r="F74">
            <v>3500</v>
          </cell>
        </row>
        <row r="76">
          <cell r="A76" t="str">
            <v>14.</v>
          </cell>
          <cell r="C76" t="str">
            <v>Kawat Beton</v>
          </cell>
          <cell r="D76" t="str">
            <v>M14</v>
          </cell>
          <cell r="E76" t="str">
            <v>Kg</v>
          </cell>
          <cell r="F76">
            <v>5000</v>
          </cell>
        </row>
        <row r="78">
          <cell r="A78" t="str">
            <v>15.</v>
          </cell>
          <cell r="C78" t="str">
            <v>Kawat Bronjong Dia 4 mm</v>
          </cell>
          <cell r="D78" t="str">
            <v>M15</v>
          </cell>
          <cell r="E78" t="str">
            <v>Kg</v>
          </cell>
          <cell r="F78">
            <v>14025</v>
          </cell>
        </row>
        <row r="80">
          <cell r="A80" t="str">
            <v>16.</v>
          </cell>
          <cell r="C80" t="str">
            <v>S i r t u</v>
          </cell>
          <cell r="D80" t="str">
            <v>M16</v>
          </cell>
          <cell r="E80" t="str">
            <v>M3</v>
          </cell>
          <cell r="F80">
            <v>55000</v>
          </cell>
        </row>
        <row r="82">
          <cell r="A82" t="str">
            <v>17.</v>
          </cell>
          <cell r="C82" t="str">
            <v>Cat Marka (Non Thermoplas)</v>
          </cell>
          <cell r="D82" t="str">
            <v>M17a</v>
          </cell>
          <cell r="E82" t="str">
            <v>Kg</v>
          </cell>
          <cell r="F82">
            <v>35000</v>
          </cell>
        </row>
        <row r="83">
          <cell r="C83" t="str">
            <v>Cat Marka (Thermoplastic)</v>
          </cell>
          <cell r="D83" t="str">
            <v>M17b</v>
          </cell>
          <cell r="E83" t="str">
            <v>Kg</v>
          </cell>
          <cell r="F83">
            <v>45000</v>
          </cell>
        </row>
        <row r="84">
          <cell r="A84" t="str">
            <v>17.</v>
          </cell>
          <cell r="C84" t="str">
            <v>P a k u</v>
          </cell>
          <cell r="D84" t="str">
            <v>M18</v>
          </cell>
          <cell r="E84" t="str">
            <v>Kg</v>
          </cell>
          <cell r="F84">
            <v>8000</v>
          </cell>
        </row>
        <row r="86">
          <cell r="G86" t="str">
            <v xml:space="preserve">Berlanjut ke halaman berikut  </v>
          </cell>
        </row>
        <row r="87">
          <cell r="A87" t="str">
            <v>DAFTAR</v>
          </cell>
        </row>
        <row r="88">
          <cell r="A88" t="str">
            <v>HARGA DASAR SATUAN BAHAN</v>
          </cell>
        </row>
        <row r="89">
          <cell r="G89" t="str">
            <v xml:space="preserve">Lanjutan </v>
          </cell>
        </row>
        <row r="90">
          <cell r="F90" t="str">
            <v>HARGA</v>
          </cell>
        </row>
        <row r="91">
          <cell r="A91" t="str">
            <v>No.</v>
          </cell>
          <cell r="B91" t="str">
            <v>U R A I A N</v>
          </cell>
          <cell r="D91" t="str">
            <v>KODE</v>
          </cell>
          <cell r="E91" t="str">
            <v>SATUAN</v>
          </cell>
          <cell r="F91" t="str">
            <v>SATUAN</v>
          </cell>
          <cell r="G91" t="str">
            <v>KETERANGAN</v>
          </cell>
        </row>
        <row r="92">
          <cell r="F92" t="str">
            <v>( Rp.)</v>
          </cell>
        </row>
        <row r="95">
          <cell r="A95" t="str">
            <v>18.</v>
          </cell>
          <cell r="C95" t="str">
            <v>Kayu Perancah</v>
          </cell>
          <cell r="D95" t="str">
            <v>M19</v>
          </cell>
          <cell r="E95" t="str">
            <v>M3</v>
          </cell>
          <cell r="F95">
            <v>1200000</v>
          </cell>
        </row>
        <row r="97">
          <cell r="A97" t="str">
            <v>19.</v>
          </cell>
          <cell r="C97" t="str">
            <v>B e n s i n</v>
          </cell>
          <cell r="D97" t="str">
            <v>M20</v>
          </cell>
          <cell r="E97" t="str">
            <v>LITER</v>
          </cell>
          <cell r="F97">
            <v>4500</v>
          </cell>
        </row>
        <row r="99">
          <cell r="A99" t="str">
            <v>20.</v>
          </cell>
          <cell r="C99" t="str">
            <v>S o l a r</v>
          </cell>
          <cell r="D99" t="str">
            <v>M21</v>
          </cell>
          <cell r="E99" t="str">
            <v>LITER</v>
          </cell>
          <cell r="F99">
            <v>4300</v>
          </cell>
        </row>
        <row r="101">
          <cell r="A101" t="str">
            <v>21.</v>
          </cell>
          <cell r="C101" t="str">
            <v>Minyak Pelumas / Olie</v>
          </cell>
          <cell r="D101" t="str">
            <v>M22</v>
          </cell>
          <cell r="E101" t="str">
            <v>LITER</v>
          </cell>
          <cell r="F101">
            <v>25000</v>
          </cell>
        </row>
        <row r="103">
          <cell r="A103" t="str">
            <v>23.</v>
          </cell>
          <cell r="C103" t="str">
            <v>Plastik Filter</v>
          </cell>
          <cell r="D103" t="str">
            <v>M23</v>
          </cell>
          <cell r="E103" t="str">
            <v>M2</v>
          </cell>
          <cell r="F103">
            <v>12500</v>
          </cell>
        </row>
        <row r="105">
          <cell r="A105" t="str">
            <v>24.</v>
          </cell>
          <cell r="C105" t="str">
            <v>Pipa Galvanis Dia. 3"</v>
          </cell>
          <cell r="D105" t="str">
            <v>M24</v>
          </cell>
          <cell r="E105" t="str">
            <v>Batang</v>
          </cell>
          <cell r="F105">
            <v>150000</v>
          </cell>
        </row>
        <row r="107">
          <cell r="A107" t="str">
            <v>25.</v>
          </cell>
          <cell r="C107" t="str">
            <v>Pipa Porus</v>
          </cell>
          <cell r="D107" t="str">
            <v>M25</v>
          </cell>
          <cell r="E107" t="str">
            <v>M'</v>
          </cell>
          <cell r="F107">
            <v>25000</v>
          </cell>
        </row>
        <row r="109">
          <cell r="A109" t="str">
            <v>22.</v>
          </cell>
          <cell r="C109" t="str">
            <v>Bahan Agr.Base Kelas A</v>
          </cell>
          <cell r="D109" t="str">
            <v>M26</v>
          </cell>
          <cell r="E109" t="str">
            <v>M3</v>
          </cell>
          <cell r="F109">
            <v>114913.03463855424</v>
          </cell>
        </row>
        <row r="111">
          <cell r="A111" t="str">
            <v>23.</v>
          </cell>
          <cell r="C111" t="str">
            <v>Bahan Agr.Base Kelas B</v>
          </cell>
          <cell r="D111" t="str">
            <v>M27</v>
          </cell>
          <cell r="E111" t="str">
            <v>M3</v>
          </cell>
          <cell r="F111">
            <v>90785.510255306945</v>
          </cell>
        </row>
        <row r="113">
          <cell r="A113" t="str">
            <v>24.</v>
          </cell>
          <cell r="C113" t="str">
            <v>Bahan Agr.Base Kelas C</v>
          </cell>
          <cell r="D113" t="str">
            <v>M28</v>
          </cell>
          <cell r="E113" t="str">
            <v>M3</v>
          </cell>
          <cell r="F113">
            <v>97447.757816982208</v>
          </cell>
        </row>
        <row r="115">
          <cell r="A115" t="str">
            <v>25.</v>
          </cell>
          <cell r="C115" t="str">
            <v>Bahan Agr.Base Kelas C2</v>
          </cell>
          <cell r="D115" t="str">
            <v>M29</v>
          </cell>
          <cell r="E115" t="str">
            <v>M3</v>
          </cell>
          <cell r="F115" t="str">
            <v xml:space="preserve">-  </v>
          </cell>
        </row>
        <row r="117">
          <cell r="A117" t="str">
            <v>30.</v>
          </cell>
          <cell r="C117" t="str">
            <v>Geotextile</v>
          </cell>
          <cell r="D117" t="str">
            <v>M30</v>
          </cell>
          <cell r="E117" t="str">
            <v>M2</v>
          </cell>
          <cell r="F117">
            <v>25000</v>
          </cell>
        </row>
        <row r="119">
          <cell r="A119" t="str">
            <v>31.</v>
          </cell>
          <cell r="C119" t="str">
            <v>Aspal Emulsi</v>
          </cell>
          <cell r="D119" t="str">
            <v>M31</v>
          </cell>
          <cell r="E119" t="str">
            <v>Kg</v>
          </cell>
          <cell r="F119">
            <v>5000</v>
          </cell>
        </row>
        <row r="121">
          <cell r="A121" t="str">
            <v>32.</v>
          </cell>
          <cell r="C121" t="str">
            <v>Gebalan Rumput</v>
          </cell>
          <cell r="D121" t="str">
            <v>M32</v>
          </cell>
          <cell r="E121" t="str">
            <v>M2</v>
          </cell>
          <cell r="F121">
            <v>10000</v>
          </cell>
        </row>
        <row r="123">
          <cell r="A123" t="str">
            <v>33.</v>
          </cell>
          <cell r="C123" t="str">
            <v>Thinner</v>
          </cell>
          <cell r="D123" t="str">
            <v>M33</v>
          </cell>
          <cell r="E123" t="str">
            <v>LITER</v>
          </cell>
          <cell r="F123">
            <v>15000</v>
          </cell>
        </row>
        <row r="125">
          <cell r="A125" t="str">
            <v>34.</v>
          </cell>
          <cell r="C125" t="str">
            <v>Glass Bead</v>
          </cell>
          <cell r="D125" t="str">
            <v>M34</v>
          </cell>
          <cell r="E125" t="str">
            <v>Kg</v>
          </cell>
          <cell r="F125">
            <v>35000</v>
          </cell>
        </row>
        <row r="127">
          <cell r="A127" t="str">
            <v>35.</v>
          </cell>
          <cell r="C127" t="str">
            <v>Pelat Rambu (Eng. Grade)</v>
          </cell>
          <cell r="D127" t="str">
            <v>M35a</v>
          </cell>
          <cell r="E127" t="str">
            <v>BH</v>
          </cell>
          <cell r="F127">
            <v>200000</v>
          </cell>
        </row>
        <row r="128">
          <cell r="C128" t="str">
            <v>Pelat Rambu (High I. Grade)</v>
          </cell>
          <cell r="D128" t="str">
            <v>M35b</v>
          </cell>
          <cell r="E128" t="str">
            <v>BH</v>
          </cell>
          <cell r="F128">
            <v>250000</v>
          </cell>
        </row>
        <row r="129">
          <cell r="A129" t="str">
            <v>36.</v>
          </cell>
          <cell r="C129" t="str">
            <v>Rel Pengaman</v>
          </cell>
          <cell r="D129" t="str">
            <v>M36</v>
          </cell>
          <cell r="E129" t="str">
            <v>M'</v>
          </cell>
          <cell r="F129">
            <v>100000</v>
          </cell>
        </row>
        <row r="131">
          <cell r="G131" t="str">
            <v xml:space="preserve">Berlanjut ke halaman berikut  </v>
          </cell>
        </row>
        <row r="132">
          <cell r="A132" t="str">
            <v>DAFTAR</v>
          </cell>
        </row>
        <row r="133">
          <cell r="A133" t="str">
            <v>HARGA DASAR SATUAN BAHAN</v>
          </cell>
        </row>
        <row r="134">
          <cell r="G134" t="str">
            <v xml:space="preserve">Lanjutan </v>
          </cell>
        </row>
        <row r="135">
          <cell r="F135" t="str">
            <v>HARGA</v>
          </cell>
        </row>
        <row r="136">
          <cell r="A136" t="str">
            <v>No.</v>
          </cell>
          <cell r="B136" t="str">
            <v>U R A I A N</v>
          </cell>
          <cell r="D136" t="str">
            <v>KODE</v>
          </cell>
          <cell r="E136" t="str">
            <v>SATUAN</v>
          </cell>
          <cell r="F136" t="str">
            <v>SATUAN</v>
          </cell>
          <cell r="G136" t="str">
            <v>KETERANGAN</v>
          </cell>
        </row>
        <row r="137">
          <cell r="F137" t="str">
            <v>( Rp.)</v>
          </cell>
        </row>
        <row r="139">
          <cell r="A139" t="str">
            <v>37.</v>
          </cell>
          <cell r="C139" t="str">
            <v>Beton K-250</v>
          </cell>
          <cell r="D139" t="str">
            <v>M37</v>
          </cell>
          <cell r="E139" t="str">
            <v>M3</v>
          </cell>
          <cell r="F139">
            <v>516022.33979099779</v>
          </cell>
          <cell r="G139" t="str">
            <v xml:space="preserve"> Lokasi Pekerjaan</v>
          </cell>
        </row>
        <row r="141">
          <cell r="A141" t="str">
            <v>38.</v>
          </cell>
          <cell r="C141" t="str">
            <v>Beton K-225</v>
          </cell>
          <cell r="D141" t="str">
            <v>M38</v>
          </cell>
          <cell r="E141" t="str">
            <v>M3</v>
          </cell>
          <cell r="F141">
            <v>508078.10576868069</v>
          </cell>
          <cell r="G141" t="str">
            <v xml:space="preserve"> Lokasi Pekerjaan</v>
          </cell>
        </row>
        <row r="143">
          <cell r="A143" t="str">
            <v>39.</v>
          </cell>
          <cell r="C143" t="str">
            <v>Baja Tulangan (Polos) U24</v>
          </cell>
          <cell r="D143" t="str">
            <v>M39a</v>
          </cell>
          <cell r="E143" t="str">
            <v>Kg</v>
          </cell>
          <cell r="F143">
            <v>3500</v>
          </cell>
          <cell r="G143" t="str">
            <v xml:space="preserve"> Lokasi Pekerjaan</v>
          </cell>
        </row>
        <row r="144">
          <cell r="C144" t="str">
            <v>Baja Tulangan (Ulir) D32</v>
          </cell>
          <cell r="D144" t="str">
            <v>M39b</v>
          </cell>
          <cell r="E144" t="str">
            <v>Kg</v>
          </cell>
          <cell r="F144">
            <v>8000</v>
          </cell>
          <cell r="G144" t="str">
            <v xml:space="preserve"> Lokasi Pekerjaan</v>
          </cell>
        </row>
        <row r="145">
          <cell r="A145" t="str">
            <v>40.</v>
          </cell>
          <cell r="C145" t="str">
            <v>Kapur</v>
          </cell>
          <cell r="D145" t="str">
            <v>M40</v>
          </cell>
          <cell r="E145" t="str">
            <v>M3</v>
          </cell>
          <cell r="F145">
            <v>150000</v>
          </cell>
          <cell r="G145" t="str">
            <v xml:space="preserve"> Hasil Proses</v>
          </cell>
        </row>
        <row r="147">
          <cell r="A147" t="str">
            <v>41.</v>
          </cell>
          <cell r="C147" t="str">
            <v>Chipping</v>
          </cell>
          <cell r="D147" t="str">
            <v>M41</v>
          </cell>
          <cell r="E147" t="str">
            <v>M3</v>
          </cell>
          <cell r="F147">
            <v>108860.47762478486</v>
          </cell>
          <cell r="G147" t="str">
            <v xml:space="preserve"> Base Camp</v>
          </cell>
        </row>
        <row r="148">
          <cell r="E148" t="str">
            <v>Kg</v>
          </cell>
          <cell r="F148">
            <v>57.757044580212686</v>
          </cell>
          <cell r="G148" t="str">
            <v xml:space="preserve"> Base Camp</v>
          </cell>
        </row>
        <row r="150">
          <cell r="A150" t="str">
            <v>42.</v>
          </cell>
          <cell r="C150" t="str">
            <v>Cat</v>
          </cell>
          <cell r="D150" t="str">
            <v>M42</v>
          </cell>
          <cell r="E150" t="str">
            <v>Kg</v>
          </cell>
          <cell r="F150">
            <v>35000</v>
          </cell>
          <cell r="G150" t="str">
            <v xml:space="preserve"> Base Camp</v>
          </cell>
        </row>
        <row r="152">
          <cell r="A152" t="str">
            <v>43.</v>
          </cell>
          <cell r="C152" t="str">
            <v>Pemantul Cahaya (Reflector)</v>
          </cell>
          <cell r="D152" t="str">
            <v>M43</v>
          </cell>
          <cell r="E152" t="str">
            <v>Bh.</v>
          </cell>
          <cell r="F152">
            <v>7500</v>
          </cell>
          <cell r="G152" t="str">
            <v xml:space="preserve"> Base Camp</v>
          </cell>
        </row>
        <row r="154">
          <cell r="A154" t="str">
            <v>26.</v>
          </cell>
          <cell r="C154" t="str">
            <v>Pasir Urug</v>
          </cell>
          <cell r="D154" t="str">
            <v>M44</v>
          </cell>
          <cell r="E154" t="str">
            <v>M3</v>
          </cell>
          <cell r="F154">
            <v>50000</v>
          </cell>
        </row>
        <row r="156">
          <cell r="A156" t="str">
            <v>45.</v>
          </cell>
          <cell r="C156" t="str">
            <v>Arbocell</v>
          </cell>
          <cell r="D156" t="str">
            <v>M45</v>
          </cell>
          <cell r="E156" t="str">
            <v>Kg.</v>
          </cell>
          <cell r="F156">
            <v>50000</v>
          </cell>
          <cell r="G156" t="str">
            <v xml:space="preserve"> Base Camp</v>
          </cell>
        </row>
        <row r="158">
          <cell r="A158" t="str">
            <v>46.</v>
          </cell>
          <cell r="C158" t="str">
            <v>Baja Bergelombang</v>
          </cell>
          <cell r="D158" t="str">
            <v>M46</v>
          </cell>
          <cell r="E158" t="str">
            <v>Kg</v>
          </cell>
          <cell r="F158">
            <v>15000</v>
          </cell>
          <cell r="G158" t="str">
            <v xml:space="preserve"> Lokasi Pekerjaan</v>
          </cell>
        </row>
        <row r="160">
          <cell r="A160" t="str">
            <v>47.</v>
          </cell>
          <cell r="C160" t="str">
            <v>Beton K-125</v>
          </cell>
          <cell r="D160" t="str">
            <v>M47</v>
          </cell>
          <cell r="E160" t="str">
            <v>M3</v>
          </cell>
          <cell r="F160">
            <v>387327.97342644387</v>
          </cell>
          <cell r="G160" t="str">
            <v xml:space="preserve"> Lokasi Pekerjaan</v>
          </cell>
        </row>
        <row r="162">
          <cell r="A162" t="str">
            <v>48.</v>
          </cell>
          <cell r="C162" t="str">
            <v>Baja Struktur</v>
          </cell>
          <cell r="D162" t="str">
            <v>M48</v>
          </cell>
          <cell r="E162" t="str">
            <v>Kg</v>
          </cell>
          <cell r="F162">
            <v>25000</v>
          </cell>
          <cell r="G162" t="str">
            <v xml:space="preserve"> Pelabuhan terdekat</v>
          </cell>
        </row>
        <row r="164">
          <cell r="A164" t="str">
            <v>49.</v>
          </cell>
          <cell r="C164" t="str">
            <v>Tiang Pancang Baja</v>
          </cell>
          <cell r="D164" t="str">
            <v>M49</v>
          </cell>
          <cell r="E164" t="str">
            <v>M'</v>
          </cell>
          <cell r="F164">
            <v>31391.610562329832</v>
          </cell>
          <cell r="G164" t="str">
            <v xml:space="preserve"> Lokasi Pekerjaan</v>
          </cell>
        </row>
        <row r="166">
          <cell r="A166" t="str">
            <v>50.</v>
          </cell>
          <cell r="C166" t="str">
            <v>T. Pancang Beton Pratekan</v>
          </cell>
          <cell r="D166" t="str">
            <v>M50</v>
          </cell>
          <cell r="E166" t="str">
            <v>M3</v>
          </cell>
          <cell r="F166">
            <v>567624573.77009761</v>
          </cell>
          <cell r="G166" t="str">
            <v xml:space="preserve"> Pelabuhan terdekat</v>
          </cell>
        </row>
        <row r="168">
          <cell r="A168" t="str">
            <v>51.</v>
          </cell>
          <cell r="C168" t="str">
            <v>Kawat Las</v>
          </cell>
          <cell r="D168" t="str">
            <v>M51</v>
          </cell>
          <cell r="E168" t="str">
            <v>Dos</v>
          </cell>
          <cell r="F168">
            <v>75000</v>
          </cell>
          <cell r="G168" t="str">
            <v xml:space="preserve"> Lokasi Pekerjaan</v>
          </cell>
        </row>
        <row r="170">
          <cell r="A170" t="str">
            <v>52.</v>
          </cell>
          <cell r="C170" t="str">
            <v>Pipa Baja</v>
          </cell>
          <cell r="D170" t="str">
            <v>M52</v>
          </cell>
          <cell r="E170" t="str">
            <v>Kg</v>
          </cell>
          <cell r="F170">
            <v>15000</v>
          </cell>
          <cell r="G170" t="str">
            <v xml:space="preserve"> Pelabuhan terdekat</v>
          </cell>
        </row>
        <row r="172">
          <cell r="A172" t="str">
            <v>53.</v>
          </cell>
          <cell r="C172" t="str">
            <v>Minyak Fluks</v>
          </cell>
          <cell r="D172" t="str">
            <v>M53</v>
          </cell>
          <cell r="E172" t="str">
            <v>Liter</v>
          </cell>
          <cell r="F172">
            <v>1500</v>
          </cell>
          <cell r="G172" t="str">
            <v xml:space="preserve"> Base Camp</v>
          </cell>
        </row>
        <row r="175">
          <cell r="G175" t="str">
            <v xml:space="preserve">Berlanjut ke halaman berikut  </v>
          </cell>
        </row>
        <row r="185">
          <cell r="F185">
            <v>550000</v>
          </cell>
        </row>
      </sheetData>
      <sheetData sheetId="1" refreshError="1"/>
      <sheetData sheetId="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ekap"/>
      <sheetName val="V.rkb"/>
      <sheetName val="rkb2"/>
      <sheetName val="v3rkb"/>
      <sheetName val="3rkb"/>
      <sheetName val="v.lab"/>
      <sheetName val="lab"/>
      <sheetName val="V.budi"/>
      <sheetName val="budi"/>
      <sheetName val="V.mus"/>
      <sheetName val="mus"/>
      <sheetName val="vr.g"/>
      <sheetName val="r.g betul"/>
      <sheetName val="3 rumah guru"/>
      <sheetName val="v.asrama"/>
      <sheetName val="asrama"/>
      <sheetName val="v.mck"/>
      <sheetName val="rabmck"/>
      <sheetName val="non standa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6">
          <cell r="E86">
            <v>70000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 mc "/>
      <sheetName val="Galian Sal mc Tot"/>
      <sheetName val="Galian Biasa mc 02"/>
      <sheetName val="Galian Biasa mc 03"/>
      <sheetName val="Galian Biasa mc 04"/>
      <sheetName val="Galian Biasa mc 05"/>
      <sheetName val="04"/>
      <sheetName val=" 05"/>
      <sheetName val="Rekap Sal"/>
      <sheetName val="Galian Sal FINAL (A)"/>
      <sheetName val="Galian Sal 02"/>
      <sheetName val="Galian Sal 03"/>
      <sheetName val="Galian Sal 04"/>
      <sheetName val="Galian Sal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ESTIMASI VOLUME</v>
          </cell>
        </row>
        <row r="3">
          <cell r="D3" t="str">
            <v>KEGIATAN PENUNJANG PENANGANAN JALAN PERKOTAAN</v>
          </cell>
        </row>
        <row r="4">
          <cell r="D4" t="str">
            <v>NO. PAKET</v>
          </cell>
          <cell r="H4" t="str">
            <v xml:space="preserve">DINAS PRASARANA WILAYAH PROVINSI </v>
          </cell>
          <cell r="L4" t="str">
            <v>PEMBANGUNAN JALAN AKSES</v>
          </cell>
        </row>
        <row r="5">
          <cell r="D5" t="str">
            <v>PWK - 02 D</v>
          </cell>
          <cell r="H5" t="str">
            <v>NANGGROE ACEH DARUSSALAM</v>
          </cell>
          <cell r="L5" t="str">
            <v>NEW TOWN BANDA ACEH</v>
          </cell>
        </row>
        <row r="6">
          <cell r="D6" t="str">
            <v>KONSULTAN</v>
          </cell>
          <cell r="J6" t="str">
            <v>KONTRAKTOR</v>
          </cell>
        </row>
        <row r="7">
          <cell r="D7" t="str">
            <v>PT. BINA CIPTA PERDANA JO. PT ITBA CONSULTAN</v>
          </cell>
          <cell r="J7" t="str">
            <v>PT. ADHI KARYA (PERSERO)Tbk.</v>
          </cell>
        </row>
        <row r="8">
          <cell r="D8" t="str">
            <v>Nomor Mata Pembayaran</v>
          </cell>
          <cell r="J8" t="str">
            <v>Uraian</v>
          </cell>
        </row>
        <row r="9">
          <cell r="D9" t="str">
            <v>2.1</v>
          </cell>
          <cell r="J9" t="str">
            <v>Galian untuk Selokan, Srainase dan Saluran Air</v>
          </cell>
        </row>
        <row r="10">
          <cell r="D10" t="str">
            <v>Lokasi :</v>
          </cell>
          <cell r="G10" t="str">
            <v>Kanan dan kiri Jalan</v>
          </cell>
        </row>
        <row r="14">
          <cell r="F14" t="str">
            <v>REKAPITULASI VOLUME GALIAN SALURAN</v>
          </cell>
        </row>
        <row r="16">
          <cell r="F16" t="str">
            <v>No</v>
          </cell>
          <cell r="G16" t="str">
            <v>Uraian</v>
          </cell>
          <cell r="J16" t="str">
            <v>Volume (m3)</v>
          </cell>
          <cell r="L16" t="str">
            <v>Keterangan</v>
          </cell>
        </row>
        <row r="19">
          <cell r="F19">
            <v>1</v>
          </cell>
          <cell r="H19" t="str">
            <v>Galian Saluran pada Kanan Jalan</v>
          </cell>
          <cell r="J19">
            <v>345.33000000000004</v>
          </cell>
          <cell r="L19" t="str">
            <v>Arah Kanan</v>
          </cell>
        </row>
        <row r="21">
          <cell r="F21">
            <v>2</v>
          </cell>
          <cell r="H21" t="str">
            <v>Galian Saluran pada Jln. Masuk Dekranas</v>
          </cell>
          <cell r="J21">
            <v>30.720000000000002</v>
          </cell>
          <cell r="L21" t="str">
            <v>Arah Kiri</v>
          </cell>
        </row>
        <row r="23">
          <cell r="F23">
            <v>3</v>
          </cell>
          <cell r="H23" t="str">
            <v>Galian Saluran pada Jln. Masuk Dekranas</v>
          </cell>
          <cell r="J23">
            <v>30.720000000000002</v>
          </cell>
          <cell r="L23" t="str">
            <v>Arah Kanan</v>
          </cell>
        </row>
        <row r="29">
          <cell r="H29" t="str">
            <v>Total Volume Galian Saluran</v>
          </cell>
          <cell r="J29">
            <v>406.7700000000001</v>
          </cell>
        </row>
        <row r="37">
          <cell r="D37" t="str">
            <v>KONTRAKTOR</v>
          </cell>
          <cell r="I37" t="str">
            <v>KONSULTAN SUPERVISI</v>
          </cell>
          <cell r="L37" t="str">
            <v>DINAS PRASWIL</v>
          </cell>
        </row>
        <row r="46">
          <cell r="D46" t="str">
            <v>General Superitendent</v>
          </cell>
          <cell r="I46" t="str">
            <v>Chief Inspector</v>
          </cell>
          <cell r="L46" t="str">
            <v>Pengawas Lapangan</v>
          </cell>
        </row>
        <row r="48">
          <cell r="D48" t="str">
            <v>ESTIMASI VOLUME MC. NO. 01</v>
          </cell>
        </row>
        <row r="49">
          <cell r="D49" t="str">
            <v>KEGIATAN PENUNJANG PENANGANAN JALAN PERKOTAAN</v>
          </cell>
        </row>
        <row r="50">
          <cell r="D50" t="str">
            <v>NO. PAKET</v>
          </cell>
          <cell r="H50" t="str">
            <v xml:space="preserve">DINAS PRASARANA WILAYAH PROVINSI </v>
          </cell>
          <cell r="L50" t="str">
            <v>PEMBANGUNAN JALAN AKSES</v>
          </cell>
        </row>
        <row r="51">
          <cell r="D51" t="str">
            <v>PWK - 02 D</v>
          </cell>
          <cell r="H51" t="str">
            <v>NANGGROE ACEH DARUSSALAM</v>
          </cell>
          <cell r="L51" t="str">
            <v>TAMAN SRI RATU SAFIATUDDIN</v>
          </cell>
        </row>
        <row r="52">
          <cell r="D52" t="str">
            <v>KONSULTAN</v>
          </cell>
          <cell r="J52" t="str">
            <v>KONTRAKTOR</v>
          </cell>
        </row>
        <row r="53">
          <cell r="D53" t="str">
            <v>PT. BINA CIPTA PERDANA JO. PT ITBA CONSULTAN</v>
          </cell>
          <cell r="J53" t="str">
            <v>PT. ADHI KARYA (PERSERO)Tbk.</v>
          </cell>
        </row>
        <row r="54">
          <cell r="D54" t="str">
            <v>Nomor Mata Pembayaran</v>
          </cell>
          <cell r="J54" t="str">
            <v>Uraian</v>
          </cell>
        </row>
        <row r="55">
          <cell r="D55" t="str">
            <v>8.2. (2)</v>
          </cell>
          <cell r="J55" t="str">
            <v xml:space="preserve">Penebangan Pohon </v>
          </cell>
        </row>
        <row r="56">
          <cell r="D56" t="str">
            <v>Lokasi :</v>
          </cell>
          <cell r="G56" t="str">
            <v>Kanan dan kiri Jalan</v>
          </cell>
        </row>
        <row r="60">
          <cell r="F60" t="str">
            <v>REKAPITULASI VOLUME PENEBANGAN POHON</v>
          </cell>
        </row>
        <row r="62">
          <cell r="F62" t="str">
            <v>No</v>
          </cell>
          <cell r="G62" t="str">
            <v>Uraian</v>
          </cell>
          <cell r="J62" t="str">
            <v>Volume (Btg)</v>
          </cell>
          <cell r="L62" t="str">
            <v>Keterangan</v>
          </cell>
        </row>
        <row r="65">
          <cell r="F65">
            <v>1</v>
          </cell>
          <cell r="H65" t="str">
            <v>Penebangan Pohon Diameter 15 s/d 30 cm</v>
          </cell>
          <cell r="J65">
            <v>35</v>
          </cell>
        </row>
        <row r="67">
          <cell r="F67">
            <v>2</v>
          </cell>
          <cell r="H67" t="str">
            <v>Penebangan Pohon Diameter 30 s/d 50 cm</v>
          </cell>
          <cell r="J67">
            <v>15</v>
          </cell>
          <cell r="L67" t="str">
            <v>Saluran Induk</v>
          </cell>
        </row>
        <row r="69">
          <cell r="F69">
            <v>3</v>
          </cell>
          <cell r="H69" t="str">
            <v>Penebangan Pohon Diameter 50 s/d 75 cm</v>
          </cell>
          <cell r="J69">
            <v>5</v>
          </cell>
          <cell r="L69" t="str">
            <v>Arah Kiri</v>
          </cell>
        </row>
        <row r="71">
          <cell r="L71" t="str">
            <v>Arah Kanan</v>
          </cell>
        </row>
        <row r="75">
          <cell r="H75" t="str">
            <v>Total Volume Pasangan Batu dgn Mortar</v>
          </cell>
          <cell r="J75">
            <v>55</v>
          </cell>
        </row>
        <row r="82">
          <cell r="D82" t="str">
            <v>Disetujui Oleh :</v>
          </cell>
          <cell r="I82" t="str">
            <v>Diperiksa Oleh :</v>
          </cell>
          <cell r="L82" t="str">
            <v>Dibuat Oleh :</v>
          </cell>
        </row>
        <row r="83">
          <cell r="D83" t="str">
            <v>Koord. Pengawas Lapangan</v>
          </cell>
          <cell r="I83" t="str">
            <v>Konsultan Supervisi</v>
          </cell>
          <cell r="L83" t="str">
            <v>Penyedia Barang / Jasa</v>
          </cell>
        </row>
        <row r="84">
          <cell r="D84" t="str">
            <v>Kegiatan Pembangunan</v>
          </cell>
          <cell r="I84" t="str">
            <v>PT. BINA CIPTA PERDANA Bekerjasama</v>
          </cell>
          <cell r="L84" t="str">
            <v>PT. ADHI KARYA (PERSERO) Tbk.</v>
          </cell>
        </row>
        <row r="85">
          <cell r="D85" t="str">
            <v>Jalan Akses New Town</v>
          </cell>
          <cell r="I85" t="str">
            <v>PT. ITBA CONSULTANT</v>
          </cell>
          <cell r="L85" t="str">
            <v xml:space="preserve">Cabang I Wil. Sumut &amp; NAD </v>
          </cell>
        </row>
        <row r="92">
          <cell r="D92" t="str">
            <v>YUSRIZAL, ST. MT</v>
          </cell>
          <cell r="I92" t="str">
            <v>Ir. KAMARUZZAMAN</v>
          </cell>
          <cell r="L92" t="str">
            <v>Ir. MARGIANTO</v>
          </cell>
        </row>
        <row r="93">
          <cell r="D93" t="str">
            <v>NIP. 110 053 966</v>
          </cell>
          <cell r="I93" t="str">
            <v>Site Engineer</v>
          </cell>
          <cell r="L93" t="str">
            <v>General Superintendent</v>
          </cell>
        </row>
        <row r="95">
          <cell r="D95" t="str">
            <v>ESTIMASI VOLUME</v>
          </cell>
        </row>
        <row r="96">
          <cell r="D96" t="str">
            <v>KEGIATAN PENUNJANG PENANGANAN JALAN PERKOTAAN</v>
          </cell>
        </row>
        <row r="97">
          <cell r="D97" t="str">
            <v>NO. PAKET</v>
          </cell>
          <cell r="H97" t="str">
            <v xml:space="preserve">DINAS PRASARANA WILAYAH PROVINSI </v>
          </cell>
          <cell r="L97" t="str">
            <v>PEMBANGUNAN JALAN PENGHUBUNG</v>
          </cell>
        </row>
        <row r="98">
          <cell r="D98" t="str">
            <v>PWK - 02 E</v>
          </cell>
          <cell r="H98" t="str">
            <v>NANGGROE ACEH DARUSSALAM</v>
          </cell>
          <cell r="L98" t="str">
            <v>TAMAN SRI RATU SAFIATUDDIN</v>
          </cell>
        </row>
        <row r="99">
          <cell r="D99" t="str">
            <v>KONSULTAN</v>
          </cell>
          <cell r="J99" t="str">
            <v>KONTRAKTOR</v>
          </cell>
        </row>
        <row r="100">
          <cell r="J100" t="str">
            <v>PT. SARJIS AGUNG Jo. PT. AYU LESTARI INDAH</v>
          </cell>
        </row>
        <row r="101">
          <cell r="D101" t="str">
            <v>Nomor Mata Pembayaran</v>
          </cell>
          <cell r="J101" t="str">
            <v>Uraian</v>
          </cell>
        </row>
        <row r="102">
          <cell r="D102" t="str">
            <v>3.1 (1)</v>
          </cell>
          <cell r="J102" t="str">
            <v>Galian Tanah Biasa</v>
          </cell>
        </row>
        <row r="103">
          <cell r="D103" t="str">
            <v>Lokasi :</v>
          </cell>
          <cell r="G103" t="str">
            <v>Kanan dan kiri Jalan</v>
          </cell>
        </row>
        <row r="107">
          <cell r="F107" t="str">
            <v>REKAPITULASI VOLUME GALIAN TANAH BIASA</v>
          </cell>
        </row>
        <row r="109">
          <cell r="F109" t="str">
            <v>No</v>
          </cell>
          <cell r="G109" t="str">
            <v>Uraian</v>
          </cell>
          <cell r="J109" t="str">
            <v>Volume (m3)</v>
          </cell>
          <cell r="L109" t="str">
            <v>Keterangan</v>
          </cell>
        </row>
        <row r="112">
          <cell r="F112">
            <v>1</v>
          </cell>
          <cell r="H112" t="str">
            <v>Sta 0 + 000 s/d Sta 0 + 460 dan</v>
          </cell>
          <cell r="J112">
            <v>6266.1524999999992</v>
          </cell>
          <cell r="L112" t="str">
            <v>Arah Kanan</v>
          </cell>
        </row>
        <row r="113">
          <cell r="H113" t="str">
            <v>Sta 0+000 s/d 0+080 (Jalur Langsung)</v>
          </cell>
        </row>
        <row r="115">
          <cell r="F115">
            <v>2</v>
          </cell>
          <cell r="H115" t="str">
            <v xml:space="preserve">Sta 0 + 000 s/d Sta 0 + 500 </v>
          </cell>
          <cell r="J115">
            <v>2003.4625000000001</v>
          </cell>
          <cell r="L115" t="str">
            <v xml:space="preserve">Arah Kiri </v>
          </cell>
        </row>
        <row r="117">
          <cell r="F117">
            <v>3</v>
          </cell>
          <cell r="H117" t="str">
            <v>Sta 0 + 000 s/d Sta 0 + 040 (Pintu Masuk Dekranas)</v>
          </cell>
        </row>
        <row r="124">
          <cell r="H124" t="str">
            <v>Total Volume Galian Tanah Biasa</v>
          </cell>
          <cell r="J124">
            <v>8269.6149999999998</v>
          </cell>
        </row>
        <row r="128">
          <cell r="F128" t="str">
            <v>Volume Galian Tanah Biasa sampai saat ini :</v>
          </cell>
          <cell r="J128">
            <v>8269.6149999999998</v>
          </cell>
          <cell r="K128" t="str">
            <v>M3</v>
          </cell>
        </row>
        <row r="130">
          <cell r="F130" t="str">
            <v>Volume Galian Tanah Biasa yang dibayar pada MC No. 1 adalah :</v>
          </cell>
          <cell r="J130">
            <v>7969.35</v>
          </cell>
          <cell r="K130" t="str">
            <v>M3</v>
          </cell>
        </row>
        <row r="132">
          <cell r="F132" t="str">
            <v>Volume Galian Tanah Biasa yang dibayar pada MC No. 2 adalah :</v>
          </cell>
          <cell r="J132" t="str">
            <v>mc2</v>
          </cell>
          <cell r="K132" t="str">
            <v>M3</v>
          </cell>
        </row>
        <row r="134">
          <cell r="F134" t="str">
            <v>Sisa Volume Yang belum dibayar :</v>
          </cell>
          <cell r="J134" t="e">
            <v>#VALUE!</v>
          </cell>
          <cell r="K134" t="str">
            <v>M3</v>
          </cell>
        </row>
        <row r="144">
          <cell r="D144" t="str">
            <v>KONTRAKTOR</v>
          </cell>
          <cell r="I144" t="str">
            <v>KONSULTAN SUPERVISI</v>
          </cell>
          <cell r="L144" t="str">
            <v>DINAS PRASWIL</v>
          </cell>
        </row>
        <row r="153">
          <cell r="D153" t="str">
            <v>General Superitendent</v>
          </cell>
          <cell r="I153" t="str">
            <v>Chief Inspector</v>
          </cell>
          <cell r="L153" t="str">
            <v>Pengawas Lapangan</v>
          </cell>
        </row>
        <row r="155">
          <cell r="D155" t="str">
            <v>ESTIMASI VOLUME MC. NO. - 02</v>
          </cell>
        </row>
        <row r="156">
          <cell r="D156" t="str">
            <v>KEGIATAN PENUNJANG PENANGANAN JALAN PERKOTAAN</v>
          </cell>
        </row>
        <row r="157">
          <cell r="D157" t="str">
            <v>NO. PAKET</v>
          </cell>
          <cell r="H157" t="str">
            <v xml:space="preserve">DINAS PRASARANA WILAYAH PROVINSI </v>
          </cell>
          <cell r="L157" t="str">
            <v>PEMBANGUNAN JALAN PENGHUBUNG</v>
          </cell>
        </row>
        <row r="158">
          <cell r="D158" t="str">
            <v>PWK - 02 D</v>
          </cell>
          <cell r="H158" t="str">
            <v>NANGGROE ACEH DARUSSALAM</v>
          </cell>
          <cell r="L158" t="str">
            <v>NEW TOWN BANDA ACEH</v>
          </cell>
        </row>
        <row r="159">
          <cell r="D159" t="str">
            <v>KONSULTAN</v>
          </cell>
          <cell r="J159" t="str">
            <v>KONTRAKTOR</v>
          </cell>
        </row>
        <row r="160">
          <cell r="D160" t="str">
            <v>PT. BINA CIPTA PERDANA JO. PT ITBA CONSULTAN</v>
          </cell>
          <cell r="J160" t="str">
            <v>PT. ADHI KARYA (PERSERO)Tbk.</v>
          </cell>
        </row>
        <row r="161">
          <cell r="D161" t="str">
            <v>Nomor Mata Pembayaran</v>
          </cell>
          <cell r="J161" t="str">
            <v>Uraian</v>
          </cell>
        </row>
        <row r="162">
          <cell r="D162" t="str">
            <v>3.1 (2)</v>
          </cell>
          <cell r="J162" t="str">
            <v>Tanah Timbun Biasa</v>
          </cell>
        </row>
        <row r="163">
          <cell r="D163" t="str">
            <v>Lokasi :</v>
          </cell>
          <cell r="G163" t="str">
            <v>Banda Aceh-Aceh Besar</v>
          </cell>
        </row>
        <row r="167">
          <cell r="F167" t="str">
            <v>REKAPITULASI VOLUME TANAH TIMBUN BIASA</v>
          </cell>
        </row>
        <row r="169">
          <cell r="F169" t="str">
            <v>No</v>
          </cell>
          <cell r="G169" t="str">
            <v>Uraian</v>
          </cell>
          <cell r="J169" t="str">
            <v>Volume (m3)</v>
          </cell>
          <cell r="L169" t="str">
            <v>Keterangan</v>
          </cell>
        </row>
        <row r="172">
          <cell r="F172">
            <v>1</v>
          </cell>
          <cell r="H172" t="str">
            <v xml:space="preserve">Tanah Timbun pada Sta </v>
          </cell>
          <cell r="J172">
            <v>31472.31</v>
          </cell>
          <cell r="L172" t="str">
            <v>Arah Kanan</v>
          </cell>
        </row>
        <row r="185">
          <cell r="H185" t="str">
            <v>Total Volume Tanah Timbun Biasa</v>
          </cell>
          <cell r="J185">
            <v>31472.31</v>
          </cell>
        </row>
        <row r="193">
          <cell r="D193" t="str">
            <v>KONTRAKTOR</v>
          </cell>
          <cell r="I193" t="str">
            <v>KONSULTAN SUPERVISI</v>
          </cell>
          <cell r="L193" t="str">
            <v>DINAS PRASWIL</v>
          </cell>
        </row>
        <row r="202">
          <cell r="D202" t="str">
            <v>General Superitendent</v>
          </cell>
          <cell r="I202" t="str">
            <v>Chief Inspector</v>
          </cell>
          <cell r="L202" t="str">
            <v>Pengawas Lapangan</v>
          </cell>
        </row>
        <row r="204">
          <cell r="D204" t="str">
            <v>ESTIMASI VOLUME</v>
          </cell>
        </row>
        <row r="205">
          <cell r="D205" t="str">
            <v>KEGIATAN PENUNJANG PENANGANAN JALAN PERKOTAAN</v>
          </cell>
        </row>
        <row r="206">
          <cell r="D206" t="str">
            <v>NO. PAKET</v>
          </cell>
          <cell r="H206" t="str">
            <v xml:space="preserve">DINAS PRASARANA WILAYAH PROVINSI </v>
          </cell>
          <cell r="L206" t="str">
            <v>PEMBANGUNAN JALAN PENGHUBUNG</v>
          </cell>
        </row>
        <row r="207">
          <cell r="D207" t="str">
            <v>PWK - 02 E</v>
          </cell>
          <cell r="H207" t="str">
            <v>NANGGROE ACEH DARUSSALAM</v>
          </cell>
          <cell r="L207" t="str">
            <v>TAMAN SRI RATU SAFIATUDDIN</v>
          </cell>
        </row>
        <row r="208">
          <cell r="D208" t="str">
            <v>KONSULTAN</v>
          </cell>
          <cell r="J208" t="str">
            <v>KONTRAKTOR</v>
          </cell>
        </row>
        <row r="209">
          <cell r="J209" t="str">
            <v>PT. SARJIS AGUNG Jo. PT. AYU LESTARI INDAH</v>
          </cell>
        </row>
        <row r="210">
          <cell r="D210" t="str">
            <v>Nomor Mata Pembayaran</v>
          </cell>
          <cell r="J210" t="str">
            <v>Uraian</v>
          </cell>
        </row>
        <row r="211">
          <cell r="D211" t="str">
            <v>3.1 (2) a</v>
          </cell>
          <cell r="J211" t="str">
            <v>Tanah Timbun Biasa</v>
          </cell>
        </row>
        <row r="212">
          <cell r="D212" t="str">
            <v>Lokasi :</v>
          </cell>
          <cell r="G212" t="str">
            <v>Kanan dan kiri Jalan</v>
          </cell>
          <cell r="J212" t="str">
            <v>untuk Median</v>
          </cell>
        </row>
        <row r="216">
          <cell r="F216" t="str">
            <v>REKAPITULASI VOLUME TANAH TIMBUN BIASA UNTUK MEDIAN</v>
          </cell>
        </row>
        <row r="218">
          <cell r="F218" t="str">
            <v>No</v>
          </cell>
          <cell r="G218" t="str">
            <v>Uraian</v>
          </cell>
          <cell r="J218" t="str">
            <v>Volume (m3)</v>
          </cell>
          <cell r="L218" t="str">
            <v>Keterangan</v>
          </cell>
        </row>
        <row r="221">
          <cell r="F221">
            <v>1</v>
          </cell>
          <cell r="H221" t="str">
            <v>Tanah Timbun pada Median</v>
          </cell>
          <cell r="J221">
            <v>163.23840000000004</v>
          </cell>
          <cell r="L221" t="str">
            <v xml:space="preserve">Arah Kiri </v>
          </cell>
        </row>
        <row r="223">
          <cell r="F223">
            <v>2</v>
          </cell>
          <cell r="H223" t="str">
            <v>Tanah Timbun pada Median</v>
          </cell>
          <cell r="J223">
            <v>179.15000000000003</v>
          </cell>
          <cell r="L223" t="str">
            <v xml:space="preserve">Arah Kiri </v>
          </cell>
        </row>
        <row r="225">
          <cell r="F225">
            <v>3</v>
          </cell>
          <cell r="H225" t="str">
            <v>Tanah Timbun pada Median</v>
          </cell>
          <cell r="J225">
            <v>117.2</v>
          </cell>
          <cell r="L225" t="str">
            <v>Arah Tengah</v>
          </cell>
        </row>
        <row r="227">
          <cell r="F227">
            <v>4</v>
          </cell>
          <cell r="H227" t="str">
            <v>Tanah Timbun untuk Median pada Pulau Jalan</v>
          </cell>
          <cell r="J227">
            <v>56.07</v>
          </cell>
          <cell r="L227" t="str">
            <v>Arah Tengah</v>
          </cell>
        </row>
        <row r="234">
          <cell r="H234" t="str">
            <v>Total Volume Tanah Timbun Biasa untuk Median</v>
          </cell>
          <cell r="J234">
            <v>515.65840000000003</v>
          </cell>
        </row>
        <row r="242">
          <cell r="D242" t="str">
            <v>KONTRAKTOR</v>
          </cell>
          <cell r="I242" t="str">
            <v>KONSULTAN SUPERVISI</v>
          </cell>
          <cell r="L242" t="str">
            <v>DINAS PRASWIL</v>
          </cell>
        </row>
        <row r="251">
          <cell r="D251" t="str">
            <v>General Superitendent</v>
          </cell>
          <cell r="I251" t="str">
            <v>Chief Inspector</v>
          </cell>
          <cell r="L251" t="str">
            <v>Pengawas Lapangan</v>
          </cell>
        </row>
        <row r="253">
          <cell r="D253" t="str">
            <v>ESTIMASI VOLUME</v>
          </cell>
        </row>
        <row r="254">
          <cell r="D254" t="str">
            <v>KEGIATAN PENUNJANG PENANGANAN JALAN PERKOTAAN</v>
          </cell>
        </row>
        <row r="255">
          <cell r="D255" t="str">
            <v>NO. PAKET</v>
          </cell>
          <cell r="H255" t="str">
            <v xml:space="preserve">DINAS PRASARANA WILAYAH PROVINSI </v>
          </cell>
          <cell r="L255" t="str">
            <v>PEMBANGUNAN JALAN PENGHUBUNG</v>
          </cell>
        </row>
        <row r="256">
          <cell r="D256" t="str">
            <v>PWK - 02 E</v>
          </cell>
          <cell r="H256" t="str">
            <v>NANGGROE ACEH DARUSSALAM</v>
          </cell>
          <cell r="L256" t="str">
            <v>TAMAN SRI RATU SAFIATUDDIN</v>
          </cell>
        </row>
        <row r="257">
          <cell r="D257" t="str">
            <v>KONSULTAN</v>
          </cell>
          <cell r="J257" t="str">
            <v>KONTRAKTOR</v>
          </cell>
        </row>
        <row r="258">
          <cell r="J258" t="str">
            <v>PT. SARJIS AGUNG Jo. PT. AYU LESTARI INDAH</v>
          </cell>
        </row>
        <row r="259">
          <cell r="D259" t="str">
            <v>Nomor Mata Pembayaran</v>
          </cell>
          <cell r="J259" t="str">
            <v>Uraian</v>
          </cell>
        </row>
        <row r="260">
          <cell r="D260" t="str">
            <v>3.2 (2)</v>
          </cell>
          <cell r="J260" t="str">
            <v>Timbunan Pilihan</v>
          </cell>
        </row>
        <row r="261">
          <cell r="D261" t="str">
            <v>Lokasi :</v>
          </cell>
          <cell r="G261" t="str">
            <v>Kanan dan kiri Jalan</v>
          </cell>
        </row>
        <row r="265">
          <cell r="F265" t="str">
            <v>REKAPITULASI VOLUME TIMBUNAN PILIHAN</v>
          </cell>
        </row>
        <row r="267">
          <cell r="F267" t="str">
            <v>No</v>
          </cell>
          <cell r="G267" t="str">
            <v>Uraian</v>
          </cell>
          <cell r="J267" t="str">
            <v>Volume (m3)</v>
          </cell>
          <cell r="L267" t="str">
            <v>Keterangan</v>
          </cell>
        </row>
        <row r="270">
          <cell r="F270">
            <v>1</v>
          </cell>
          <cell r="H270" t="str">
            <v>Sta 0 + 000 s/d Sta 0 + 460 dan</v>
          </cell>
          <cell r="J270">
            <v>4097.0150000000003</v>
          </cell>
          <cell r="L270" t="str">
            <v>Arah Kanan</v>
          </cell>
        </row>
        <row r="271">
          <cell r="H271" t="str">
            <v>Sta 0+000 s/d 0+080 (Jalur Langsung)</v>
          </cell>
        </row>
        <row r="273">
          <cell r="F273">
            <v>2</v>
          </cell>
          <cell r="H273" t="str">
            <v xml:space="preserve">Sta 0 + 000 s/d Sta 0 + 500 </v>
          </cell>
          <cell r="J273">
            <v>1475.19</v>
          </cell>
          <cell r="L273" t="str">
            <v xml:space="preserve">Arah Kiri </v>
          </cell>
        </row>
        <row r="275">
          <cell r="F275">
            <v>3</v>
          </cell>
          <cell r="H275" t="str">
            <v>Sta 0 + 080 s/d Sta 0 + 290 (Daerah Geotextile)</v>
          </cell>
          <cell r="L275" t="str">
            <v xml:space="preserve">Arah Kiri </v>
          </cell>
        </row>
        <row r="276">
          <cell r="F276">
            <v>3</v>
          </cell>
          <cell r="H276" t="str">
            <v>Sta 0 + 080 s/d Sta 0 + 290 (Daerah Geotextile)</v>
          </cell>
          <cell r="J276">
            <v>1066.3500000000001</v>
          </cell>
          <cell r="L276" t="str">
            <v>Arah Kanan</v>
          </cell>
        </row>
        <row r="277">
          <cell r="F277">
            <v>4</v>
          </cell>
          <cell r="H277" t="str">
            <v>Sta 0 + 000 s/d Sta 0 + 040 (Pintu Masuk Dekranas)</v>
          </cell>
        </row>
        <row r="286">
          <cell r="H286" t="str">
            <v>Total Volume Timbunan Pilihan</v>
          </cell>
          <cell r="J286">
            <v>6638.5550000000003</v>
          </cell>
        </row>
        <row r="291">
          <cell r="F291" t="str">
            <v>Volume Tanah Timbun Pilihan sampai saat ini :</v>
          </cell>
          <cell r="J291">
            <v>6638.5550000000003</v>
          </cell>
          <cell r="L291" t="str">
            <v>M3</v>
          </cell>
        </row>
        <row r="293">
          <cell r="F293" t="str">
            <v>Volume Tanah Timbun Pilihan yang dibayar pada MC No. 1 adalah :</v>
          </cell>
          <cell r="J293">
            <v>5961.07</v>
          </cell>
          <cell r="L293" t="str">
            <v>M3</v>
          </cell>
        </row>
        <row r="308">
          <cell r="D308" t="str">
            <v>KONTRAKTOR</v>
          </cell>
          <cell r="I308" t="str">
            <v>KONSULTAN SUPERVISI</v>
          </cell>
          <cell r="L308" t="str">
            <v>DINAS PRASWIL</v>
          </cell>
        </row>
        <row r="317">
          <cell r="D317" t="str">
            <v>General Superitendent</v>
          </cell>
          <cell r="I317" t="str">
            <v>Chief Inspector</v>
          </cell>
          <cell r="L317" t="str">
            <v>Pengawas Lapangan</v>
          </cell>
        </row>
        <row r="319">
          <cell r="D319" t="str">
            <v>ESTIMASI VOLUME</v>
          </cell>
        </row>
        <row r="320">
          <cell r="D320" t="str">
            <v>KEGIATAN PENUNJANG PENANGANAN JALAN PERKOTAAN</v>
          </cell>
        </row>
        <row r="321">
          <cell r="D321" t="str">
            <v>NO. PAKET</v>
          </cell>
          <cell r="H321" t="str">
            <v xml:space="preserve">DINAS PRASARANA WILAYAH PROVINSI </v>
          </cell>
          <cell r="L321" t="str">
            <v>PEMBANGUNAN JALAN PENGHUBUNG</v>
          </cell>
        </row>
        <row r="322">
          <cell r="D322" t="str">
            <v>PWK - 02 E</v>
          </cell>
          <cell r="H322" t="str">
            <v>NANGGROE ACEH DARUSSALAM</v>
          </cell>
          <cell r="L322" t="str">
            <v>TAMAN SRI RATU SAFIATUDDIN</v>
          </cell>
        </row>
        <row r="323">
          <cell r="D323" t="str">
            <v>KONSULTAN</v>
          </cell>
          <cell r="J323" t="str">
            <v>KONTRAKTOR</v>
          </cell>
        </row>
        <row r="324">
          <cell r="J324" t="str">
            <v>PT. SARJIS AGUNG Jo. PT. AYU LESTARI INDAH</v>
          </cell>
        </row>
        <row r="325">
          <cell r="D325" t="str">
            <v>Nomor Mata Pembayaran</v>
          </cell>
          <cell r="J325" t="str">
            <v>Uraian</v>
          </cell>
        </row>
        <row r="326">
          <cell r="D326" t="str">
            <v>3.3</v>
          </cell>
          <cell r="J326" t="str">
            <v>Penyiapan Badan Jalan</v>
          </cell>
        </row>
        <row r="327">
          <cell r="D327" t="str">
            <v>Lokasi :</v>
          </cell>
          <cell r="G327" t="str">
            <v>Kanan dan kiri Jalan</v>
          </cell>
        </row>
        <row r="331">
          <cell r="F331" t="str">
            <v>REKAPITULASI VOLUME PENYIAPAN BADAN JALAN</v>
          </cell>
        </row>
        <row r="333">
          <cell r="F333" t="str">
            <v>No</v>
          </cell>
          <cell r="G333" t="str">
            <v>Uraian</v>
          </cell>
          <cell r="J333" t="str">
            <v>Volume (m2)</v>
          </cell>
          <cell r="L333" t="str">
            <v>Keterangan</v>
          </cell>
        </row>
        <row r="336">
          <cell r="F336">
            <v>1</v>
          </cell>
          <cell r="H336" t="str">
            <v>Sta 0 + 000 s/d Sta 0 + 040 (Pintu Masuk Dekranas)</v>
          </cell>
          <cell r="J336">
            <v>347.5</v>
          </cell>
          <cell r="L336" t="str">
            <v>Arah Kanan</v>
          </cell>
        </row>
        <row r="342">
          <cell r="H342" t="str">
            <v>Total Volume Penyiapan Badan Jalan</v>
          </cell>
          <cell r="J342">
            <v>347.5</v>
          </cell>
        </row>
        <row r="358">
          <cell r="D358" t="str">
            <v>KONTRAKTOR</v>
          </cell>
          <cell r="I358" t="str">
            <v>KONSULTAN SUPERVISI</v>
          </cell>
          <cell r="L358" t="str">
            <v>DINAS PRASWIL</v>
          </cell>
        </row>
        <row r="367">
          <cell r="D367" t="str">
            <v>General Superitendent</v>
          </cell>
          <cell r="I367" t="str">
            <v>Chief Inspector</v>
          </cell>
          <cell r="L367" t="str">
            <v>Pengawas Lapangan</v>
          </cell>
        </row>
        <row r="369">
          <cell r="D369" t="str">
            <v>ESTIMASI VOLUME</v>
          </cell>
        </row>
        <row r="370">
          <cell r="D370" t="str">
            <v>KEGIATAN PENUNJANG PENANGANAN JALAN PERKOTAAN</v>
          </cell>
        </row>
        <row r="371">
          <cell r="D371" t="str">
            <v>NO. PAKET</v>
          </cell>
          <cell r="H371" t="str">
            <v xml:space="preserve">DINAS PRASARANA WILAYAH PROVINSI </v>
          </cell>
          <cell r="L371" t="str">
            <v>PEMBANGUNAN JALAN PENGHUBUNG</v>
          </cell>
        </row>
        <row r="372">
          <cell r="D372" t="str">
            <v>PWK - 02 E</v>
          </cell>
          <cell r="H372" t="str">
            <v>NANGGROE ACEH DARUSSALAM</v>
          </cell>
          <cell r="L372" t="str">
            <v>TAMAN SRI RATU SAFIATUDDIN</v>
          </cell>
        </row>
        <row r="373">
          <cell r="D373" t="str">
            <v>KONSULTAN</v>
          </cell>
          <cell r="J373" t="str">
            <v>KONTRAKTOR</v>
          </cell>
        </row>
        <row r="374">
          <cell r="J374" t="str">
            <v>PT. SARJIS AGUNG Jo. PT. AYU LESTARI INDAH</v>
          </cell>
        </row>
        <row r="375">
          <cell r="D375" t="str">
            <v>Nomor Mata Pembayaran</v>
          </cell>
          <cell r="J375" t="str">
            <v>Uraian</v>
          </cell>
        </row>
        <row r="376">
          <cell r="D376" t="str">
            <v>5.1 (1)</v>
          </cell>
          <cell r="J376" t="str">
            <v>Lapis Pondasi Agregat Klas A</v>
          </cell>
        </row>
        <row r="377">
          <cell r="D377" t="str">
            <v>Lokasi :</v>
          </cell>
          <cell r="G377" t="str">
            <v>Kanan dan kiri Jalan</v>
          </cell>
        </row>
        <row r="381">
          <cell r="F381" t="str">
            <v>REKAPITULASI VOLUME LAPIS PONDASI AG. KLAS A</v>
          </cell>
        </row>
        <row r="383">
          <cell r="F383" t="str">
            <v>No</v>
          </cell>
          <cell r="G383" t="str">
            <v>Uraian</v>
          </cell>
          <cell r="J383" t="str">
            <v>Volume (m3)</v>
          </cell>
          <cell r="L383" t="str">
            <v>Keterangan</v>
          </cell>
        </row>
        <row r="386">
          <cell r="F386">
            <v>1</v>
          </cell>
          <cell r="H386" t="str">
            <v>Sta 0 + 000 s/d Sta 0 + 460 dan</v>
          </cell>
          <cell r="J386">
            <v>472.57500000000005</v>
          </cell>
          <cell r="L386" t="str">
            <v>Arah Kanan</v>
          </cell>
        </row>
        <row r="387">
          <cell r="H387" t="str">
            <v>Sta 0+000 s/d 0+080 (Jalur Langsung)</v>
          </cell>
        </row>
        <row r="389">
          <cell r="F389">
            <v>2</v>
          </cell>
          <cell r="H389" t="str">
            <v xml:space="preserve">Sta 0 + 000 s/d Sta 0 + 500 </v>
          </cell>
          <cell r="J389">
            <v>228.46250000000001</v>
          </cell>
          <cell r="L389" t="str">
            <v xml:space="preserve">Arah Kiri </v>
          </cell>
        </row>
        <row r="391">
          <cell r="F391">
            <v>3</v>
          </cell>
          <cell r="H391" t="str">
            <v>Sta 0 + 000 s/d Sta 0 + 040 (Pintu Masuk Dekranas)</v>
          </cell>
          <cell r="J391">
            <v>52.124999999999986</v>
          </cell>
        </row>
        <row r="393">
          <cell r="F393">
            <v>4</v>
          </cell>
          <cell r="H393" t="str">
            <v>Daerah Pertigaan (Persimpangan) Dan Bukaan Median</v>
          </cell>
          <cell r="J393">
            <v>52.504499999999986</v>
          </cell>
        </row>
        <row r="398">
          <cell r="H398" t="str">
            <v>Total Volume Lapis Pondasi Aggregat Klas A</v>
          </cell>
          <cell r="J398">
            <v>805.66700000000003</v>
          </cell>
        </row>
        <row r="406">
          <cell r="D406" t="str">
            <v>KONTRAKTOR</v>
          </cell>
          <cell r="I406" t="str">
            <v>KONSULTAN SUPERVISI</v>
          </cell>
          <cell r="L406" t="str">
            <v>DINAS PRASWIL</v>
          </cell>
        </row>
        <row r="415">
          <cell r="D415" t="str">
            <v>General Superitendent</v>
          </cell>
          <cell r="I415" t="str">
            <v>Chief Inspector</v>
          </cell>
          <cell r="L415" t="str">
            <v>Pengawas Lapangan</v>
          </cell>
        </row>
        <row r="417">
          <cell r="D417" t="str">
            <v>ESTIMASI VOLUME</v>
          </cell>
        </row>
        <row r="418">
          <cell r="D418" t="str">
            <v>KEGIATAN PENUNJANG PENANGANAN JALAN PERKOTAAN</v>
          </cell>
        </row>
        <row r="419">
          <cell r="D419" t="str">
            <v>NO. PAKET</v>
          </cell>
          <cell r="H419" t="str">
            <v xml:space="preserve">DINAS PRASARANA WILAYAH PROVINSI </v>
          </cell>
          <cell r="L419" t="str">
            <v>PEMBANGUNAN JALAN PENGHUBUNG</v>
          </cell>
        </row>
        <row r="420">
          <cell r="D420" t="str">
            <v>PWK - 02 E</v>
          </cell>
          <cell r="H420" t="str">
            <v>NANGGROE ACEH DARUSSALAM</v>
          </cell>
          <cell r="L420" t="str">
            <v>TAMAN SRI RATU SAFIATUDDIN</v>
          </cell>
        </row>
        <row r="421">
          <cell r="D421" t="str">
            <v>KONSULTAN</v>
          </cell>
          <cell r="J421" t="str">
            <v>KONTRAKTOR</v>
          </cell>
        </row>
        <row r="422">
          <cell r="J422" t="str">
            <v>PT. SARJIS AGUNG Jo. PT. AYU LESTARI INDAH</v>
          </cell>
        </row>
        <row r="423">
          <cell r="D423" t="str">
            <v>Nomor Mata Pembayaran</v>
          </cell>
          <cell r="J423" t="str">
            <v>Uraian</v>
          </cell>
        </row>
        <row r="424">
          <cell r="D424" t="str">
            <v>5.1 (2)</v>
          </cell>
          <cell r="J424" t="str">
            <v>Lapis Pondasi Agregat Klas B</v>
          </cell>
        </row>
        <row r="425">
          <cell r="D425" t="str">
            <v>Lokasi :</v>
          </cell>
          <cell r="G425" t="str">
            <v>Kanan dan kiri Jalan</v>
          </cell>
        </row>
        <row r="429">
          <cell r="F429" t="str">
            <v>REKAPITULASI VOLUME LAPIS PONDASI AG. KLAS B</v>
          </cell>
        </row>
        <row r="431">
          <cell r="F431" t="str">
            <v>No</v>
          </cell>
          <cell r="G431" t="str">
            <v>Uraian</v>
          </cell>
          <cell r="J431" t="str">
            <v>Volume (m3)</v>
          </cell>
          <cell r="L431" t="str">
            <v>Keterangan</v>
          </cell>
        </row>
        <row r="434">
          <cell r="F434">
            <v>1</v>
          </cell>
          <cell r="H434" t="str">
            <v>Sta 0 + 000 s/d Sta 0 + 460 dan</v>
          </cell>
          <cell r="J434">
            <v>630.1</v>
          </cell>
          <cell r="L434" t="str">
            <v>Arah Kanan</v>
          </cell>
        </row>
        <row r="435">
          <cell r="H435" t="str">
            <v>Sta 0+000 s/d 0+080 (Jalur Langsung)</v>
          </cell>
        </row>
        <row r="437">
          <cell r="F437">
            <v>2</v>
          </cell>
          <cell r="H437" t="str">
            <v xml:space="preserve">Sta 0 + 000 s/d Sta 0 + 500 </v>
          </cell>
          <cell r="J437">
            <v>301.86999999999995</v>
          </cell>
          <cell r="L437" t="str">
            <v xml:space="preserve">Arah Kiri </v>
          </cell>
        </row>
        <row r="439">
          <cell r="F439">
            <v>3</v>
          </cell>
          <cell r="H439" t="str">
            <v>Sta 0 + 000 s/d Sta 0 + 040 (Pintu Masuk Dekranas)</v>
          </cell>
          <cell r="J439">
            <v>84.06</v>
          </cell>
        </row>
        <row r="443">
          <cell r="H443" t="str">
            <v>Total Volume Lapis Pondasi Aggregat Klas B</v>
          </cell>
          <cell r="J443">
            <v>1016.03</v>
          </cell>
        </row>
        <row r="451">
          <cell r="D451" t="str">
            <v>KONTRAKTOR</v>
          </cell>
          <cell r="I451" t="str">
            <v>KONSULTAN SUPERVISI</v>
          </cell>
          <cell r="L451" t="str">
            <v>DINAS PRASWIL</v>
          </cell>
        </row>
        <row r="460">
          <cell r="D460" t="str">
            <v>General Superitendent</v>
          </cell>
          <cell r="I460" t="str">
            <v>Chief Inspector</v>
          </cell>
          <cell r="L460" t="str">
            <v>Pengawas Lapangan</v>
          </cell>
        </row>
        <row r="462">
          <cell r="D462" t="str">
            <v>ESTIMASI VOLUME</v>
          </cell>
        </row>
        <row r="463">
          <cell r="D463" t="str">
            <v>KEGIATAN PENUNJANG PENANGANAN JALAN PERKOTAAN</v>
          </cell>
        </row>
        <row r="464">
          <cell r="D464" t="str">
            <v>NO. PAKET</v>
          </cell>
          <cell r="H464" t="str">
            <v xml:space="preserve">DINAS PRASARANA WILAYAH PROVINSI </v>
          </cell>
          <cell r="L464" t="str">
            <v>PEMBANGUNAN JALAN PENGHUBUNG</v>
          </cell>
        </row>
        <row r="465">
          <cell r="D465" t="str">
            <v>PWK - 02 E</v>
          </cell>
          <cell r="H465" t="str">
            <v>NANGGROE ACEH DARUSSALAM</v>
          </cell>
          <cell r="L465" t="str">
            <v>TAMAN SRI RATU SAFIATUDDIN</v>
          </cell>
        </row>
        <row r="466">
          <cell r="D466" t="str">
            <v>KONSULTAN</v>
          </cell>
          <cell r="J466" t="str">
            <v>KONTRAKTOR</v>
          </cell>
        </row>
        <row r="467">
          <cell r="J467" t="str">
            <v>PT. SARJIS AGUNG Jo. PT. AYU LESTARI INDAH</v>
          </cell>
        </row>
        <row r="468">
          <cell r="D468" t="str">
            <v>Nomor Mata Pembayaran</v>
          </cell>
          <cell r="J468" t="str">
            <v>Uraian</v>
          </cell>
        </row>
        <row r="469">
          <cell r="D469" t="str">
            <v>6.1 (1)</v>
          </cell>
          <cell r="J469" t="str">
            <v>Lapis Resap Pengikat</v>
          </cell>
        </row>
        <row r="470">
          <cell r="D470" t="str">
            <v>Lokasi :</v>
          </cell>
          <cell r="G470" t="str">
            <v>Kanan dan kiri Jalan</v>
          </cell>
        </row>
        <row r="474">
          <cell r="F474" t="str">
            <v>REKAPITULASI VOLUME LAPIS RESAP PENGIKAT</v>
          </cell>
        </row>
        <row r="476">
          <cell r="F476" t="str">
            <v>No</v>
          </cell>
          <cell r="G476" t="str">
            <v>Uraian</v>
          </cell>
          <cell r="J476" t="str">
            <v>Volume (Liter)</v>
          </cell>
          <cell r="L476" t="str">
            <v>Keterangan</v>
          </cell>
        </row>
        <row r="479">
          <cell r="F479">
            <v>1</v>
          </cell>
          <cell r="H479" t="str">
            <v>Sta 0 + 000 s/d Sta 0 + 460 dan</v>
          </cell>
          <cell r="J479">
            <v>2450</v>
          </cell>
          <cell r="L479" t="str">
            <v>Arah Kanan</v>
          </cell>
        </row>
        <row r="480">
          <cell r="H480" t="str">
            <v>Sta 0+000 s/d 0+080 (Jalur Langsung)</v>
          </cell>
        </row>
        <row r="482">
          <cell r="F482">
            <v>2</v>
          </cell>
          <cell r="H482" t="str">
            <v>Sta 0 + 000 s/d Sta 0 + 500</v>
          </cell>
          <cell r="J482">
            <v>1206.6799999999998</v>
          </cell>
          <cell r="L482" t="str">
            <v xml:space="preserve">Arah Kiri </v>
          </cell>
        </row>
        <row r="484">
          <cell r="F484">
            <v>3</v>
          </cell>
          <cell r="H484" t="str">
            <v>Daerah Buakaan Median Jln Blanak dan</v>
          </cell>
          <cell r="J484">
            <v>132.56</v>
          </cell>
        </row>
        <row r="485">
          <cell r="H485" t="str">
            <v xml:space="preserve"> Jln. Masuk Dekranas</v>
          </cell>
        </row>
        <row r="487">
          <cell r="F487">
            <v>4</v>
          </cell>
          <cell r="H487" t="str">
            <v>Sta 0 + 000 s/d Sta 0 + 041,5 (Pintu Masuk Dekranas)</v>
          </cell>
          <cell r="J487">
            <v>297.17000000000007</v>
          </cell>
        </row>
        <row r="489">
          <cell r="F489">
            <v>5</v>
          </cell>
          <cell r="H489" t="str">
            <v>Daerah Pertigaan (Persimpangan)</v>
          </cell>
          <cell r="J489">
            <v>318.88800000000003</v>
          </cell>
        </row>
        <row r="495">
          <cell r="H495" t="str">
            <v>Total Volume Lapis Resap Pengikat</v>
          </cell>
          <cell r="J495">
            <v>4405.2979999999998</v>
          </cell>
        </row>
        <row r="503">
          <cell r="D503" t="str">
            <v>KONTRAKTOR</v>
          </cell>
          <cell r="I503" t="str">
            <v>KONSULTAN SUPERVISI</v>
          </cell>
          <cell r="L503" t="str">
            <v>DINAS PRASWIL</v>
          </cell>
        </row>
        <row r="512">
          <cell r="D512" t="str">
            <v>General Superitendent</v>
          </cell>
          <cell r="I512" t="str">
            <v>Chief Inspector</v>
          </cell>
          <cell r="L512" t="str">
            <v>Pengawas Lapangan</v>
          </cell>
        </row>
        <row r="514">
          <cell r="D514" t="str">
            <v>ESTIMASI VOLUME</v>
          </cell>
        </row>
        <row r="515">
          <cell r="D515" t="str">
            <v>KEGIATAN PENUNJANG PENANGANAN JALAN PERKOTAAN</v>
          </cell>
        </row>
        <row r="516">
          <cell r="D516" t="str">
            <v>NO. PAKET</v>
          </cell>
          <cell r="H516" t="str">
            <v xml:space="preserve">DINAS PRASARANA WILAYAH PROVINSI </v>
          </cell>
          <cell r="L516" t="str">
            <v>PEMBANGUNAN JALAN PENGHUBUNG</v>
          </cell>
        </row>
        <row r="517">
          <cell r="D517" t="str">
            <v>PWK - 02 E</v>
          </cell>
          <cell r="H517" t="str">
            <v>NANGGROE ACEH DARUSSALAM</v>
          </cell>
          <cell r="L517" t="str">
            <v>TAMAN SRI RATU SAFIATUDDIN</v>
          </cell>
        </row>
        <row r="518">
          <cell r="D518" t="str">
            <v>KONSULTAN</v>
          </cell>
          <cell r="J518" t="str">
            <v>KONTRAKTOR</v>
          </cell>
        </row>
        <row r="519">
          <cell r="J519" t="str">
            <v>PT. SARJIS AGUNG Jo. PT. AYU LESTARI INDAH</v>
          </cell>
        </row>
        <row r="520">
          <cell r="D520" t="str">
            <v>Nomor Mata Pembayaran</v>
          </cell>
          <cell r="J520" t="str">
            <v>Uraian</v>
          </cell>
        </row>
        <row r="521">
          <cell r="D521" t="str">
            <v>6.3 (6)</v>
          </cell>
          <cell r="J521" t="str">
            <v>Laston - Lapis Pengikat Beton (AC-BC)</v>
          </cell>
        </row>
        <row r="522">
          <cell r="D522" t="str">
            <v>Lokasi :</v>
          </cell>
          <cell r="G522" t="str">
            <v>Kanan dan kiri Jalan</v>
          </cell>
        </row>
        <row r="526">
          <cell r="F526" t="str">
            <v>REKAPITULASI VOLUME LASATON - LAPIS PENGIKAT BETON (AC-BC)</v>
          </cell>
        </row>
        <row r="528">
          <cell r="F528" t="str">
            <v>No</v>
          </cell>
          <cell r="G528" t="str">
            <v>Uraian</v>
          </cell>
          <cell r="J528" t="str">
            <v>Volume (M3)</v>
          </cell>
          <cell r="L528" t="str">
            <v>Keterangan</v>
          </cell>
        </row>
        <row r="531">
          <cell r="F531">
            <v>1</v>
          </cell>
          <cell r="H531" t="str">
            <v>Sta 0 + 000 s/d Sta 0 + 500 dan</v>
          </cell>
          <cell r="J531">
            <v>198.20000000000002</v>
          </cell>
          <cell r="L531" t="str">
            <v>Arah Kanan</v>
          </cell>
        </row>
        <row r="532">
          <cell r="H532" t="str">
            <v>Sta 0+000 s/d 0+080 (Jalur Langsung)</v>
          </cell>
        </row>
        <row r="534">
          <cell r="F534">
            <v>2</v>
          </cell>
          <cell r="H534" t="str">
            <v xml:space="preserve">Sta 0 + 000 s/d Sta 0 + 380 </v>
          </cell>
          <cell r="J534">
            <v>120.325</v>
          </cell>
          <cell r="L534" t="str">
            <v xml:space="preserve">Arah Kiri </v>
          </cell>
        </row>
        <row r="536">
          <cell r="F536">
            <v>3</v>
          </cell>
          <cell r="H536" t="str">
            <v>Daerah Bukaan Median Jln Blanak dan</v>
          </cell>
          <cell r="J536">
            <v>8.9999999999999982</v>
          </cell>
        </row>
        <row r="537">
          <cell r="H537" t="str">
            <v xml:space="preserve"> Jln. Masuk Dekranas</v>
          </cell>
        </row>
        <row r="539">
          <cell r="F539">
            <v>4</v>
          </cell>
          <cell r="H539" t="str">
            <v>Sta 0 + 000 s/d Sta 0 + 041,5 (Pintu Masuk Dekranas)</v>
          </cell>
          <cell r="J539">
            <v>18.575000000000003</v>
          </cell>
        </row>
        <row r="541">
          <cell r="F541">
            <v>5</v>
          </cell>
          <cell r="H541" t="str">
            <v>Daerah Pertigaan (Persimpangan) &amp; Daerah Bukaan Median</v>
          </cell>
          <cell r="J541">
            <v>13.861499999999999</v>
          </cell>
        </row>
        <row r="546">
          <cell r="H546" t="str">
            <v>Total Volume AC - BC</v>
          </cell>
          <cell r="J546">
            <v>359.9615</v>
          </cell>
        </row>
        <row r="554">
          <cell r="D554" t="str">
            <v>KONTRAKTOR</v>
          </cell>
          <cell r="I554" t="str">
            <v>KONSULTAN SUPERVISI</v>
          </cell>
          <cell r="L554" t="str">
            <v>DINAS PRASWIL</v>
          </cell>
        </row>
        <row r="563">
          <cell r="D563" t="str">
            <v>General Superitendent</v>
          </cell>
          <cell r="I563" t="str">
            <v>Chief Inspector</v>
          </cell>
          <cell r="L563" t="str">
            <v>Pengawas Lapangan</v>
          </cell>
        </row>
        <row r="565">
          <cell r="D565" t="str">
            <v>ESTIMASI VOLUME</v>
          </cell>
        </row>
        <row r="566">
          <cell r="D566" t="str">
            <v>KEGIATAN PENUNJANG PENANGANAN JALAN PERKOTAAN</v>
          </cell>
        </row>
        <row r="567">
          <cell r="D567" t="str">
            <v>NO. PAKET</v>
          </cell>
          <cell r="H567" t="str">
            <v xml:space="preserve">DINAS PRASARANA WILAYAH PROVINSI </v>
          </cell>
          <cell r="L567" t="str">
            <v>PEMBANGUNAN JALAN PENGHUBUNG</v>
          </cell>
        </row>
        <row r="568">
          <cell r="D568" t="str">
            <v>PWK - 02 E</v>
          </cell>
          <cell r="H568" t="str">
            <v>NANGGROE ACEH DARUSSALAM</v>
          </cell>
          <cell r="L568" t="str">
            <v>TAMAN SRI RATU SAFIATUDDIN</v>
          </cell>
        </row>
        <row r="569">
          <cell r="D569" t="str">
            <v>KONSULTAN</v>
          </cell>
          <cell r="J569" t="str">
            <v>KONTRAKTOR</v>
          </cell>
        </row>
        <row r="570">
          <cell r="J570" t="str">
            <v>PT. SARJIS AGUNG Jo. PT. AYU LESTARI INDAH</v>
          </cell>
        </row>
        <row r="571">
          <cell r="D571" t="str">
            <v>Nomor Mata Pembayaran</v>
          </cell>
          <cell r="J571" t="str">
            <v>Uraian</v>
          </cell>
        </row>
        <row r="572">
          <cell r="D572" t="str">
            <v>7.1 (5)</v>
          </cell>
          <cell r="J572" t="str">
            <v>Beton K.250</v>
          </cell>
        </row>
        <row r="573">
          <cell r="D573" t="str">
            <v>Lokasi :</v>
          </cell>
          <cell r="G573" t="str">
            <v>Kanan dan kiri Jalan</v>
          </cell>
        </row>
        <row r="577">
          <cell r="F577" t="str">
            <v>REKAPITULASI VOLUME BETON K. 250</v>
          </cell>
        </row>
        <row r="579">
          <cell r="F579" t="str">
            <v>No</v>
          </cell>
          <cell r="G579" t="str">
            <v>Uraian</v>
          </cell>
          <cell r="J579" t="str">
            <v>volume (m3)</v>
          </cell>
          <cell r="L579" t="str">
            <v>Keterangan</v>
          </cell>
        </row>
        <row r="582">
          <cell r="F582">
            <v>1</v>
          </cell>
          <cell r="H582" t="str">
            <v xml:space="preserve">Beton K. 250 pada Penutup Saluran </v>
          </cell>
          <cell r="J582">
            <v>189.50082749999999</v>
          </cell>
        </row>
        <row r="584">
          <cell r="F584">
            <v>2</v>
          </cell>
          <cell r="H584" t="str">
            <v>Beton K. 250 pada Footing Tembok Penahan</v>
          </cell>
        </row>
        <row r="586">
          <cell r="F586">
            <v>3</v>
          </cell>
          <cell r="H586" t="str">
            <v>Beton K. 250 Pintu masuk Samping Dekranas</v>
          </cell>
        </row>
        <row r="588">
          <cell r="F588">
            <v>4</v>
          </cell>
          <cell r="H588" t="str">
            <v>Beton K. 250 pada Penyangga Tiang Lampu</v>
          </cell>
        </row>
        <row r="590">
          <cell r="F590">
            <v>5</v>
          </cell>
          <cell r="H590" t="str">
            <v>Beton K. 250 pada Kerb Pejalan Kaki pada Jalan Masuk Dekranas</v>
          </cell>
        </row>
        <row r="596">
          <cell r="H596" t="str">
            <v>Total Volume Beton K. 250</v>
          </cell>
          <cell r="J596">
            <v>189.50082749999999</v>
          </cell>
        </row>
        <row r="600">
          <cell r="F600" t="str">
            <v>Volume Beton K. 250 sampai saat ini :</v>
          </cell>
          <cell r="J600">
            <v>189.50082749999999</v>
          </cell>
          <cell r="K600" t="str">
            <v>M3</v>
          </cell>
        </row>
        <row r="602">
          <cell r="F602" t="str">
            <v>Volume Beton K. 250 yang dibayar pada MC No. 1 adalah :</v>
          </cell>
          <cell r="J602">
            <v>153</v>
          </cell>
          <cell r="K602" t="str">
            <v>M3</v>
          </cell>
        </row>
        <row r="620">
          <cell r="D620" t="str">
            <v>KONTRAKTOR</v>
          </cell>
          <cell r="I620" t="str">
            <v>KONSULTAN SUPERVISI</v>
          </cell>
          <cell r="L620" t="str">
            <v>DINAS PRASWIL</v>
          </cell>
        </row>
        <row r="629">
          <cell r="D629" t="str">
            <v>General Superitendent</v>
          </cell>
          <cell r="I629" t="str">
            <v>Chief Inspector</v>
          </cell>
          <cell r="L629" t="str">
            <v>Pengawas Lapangan</v>
          </cell>
        </row>
        <row r="631">
          <cell r="D631" t="str">
            <v>ESTIMASI VOLUME</v>
          </cell>
        </row>
        <row r="632">
          <cell r="D632" t="str">
            <v>KEGIATAN PENUNJANG PENANGANAN JALAN PERKOTAAN</v>
          </cell>
        </row>
        <row r="633">
          <cell r="D633" t="str">
            <v>NO. PAKET</v>
          </cell>
          <cell r="H633" t="str">
            <v xml:space="preserve">DINAS PRASARANA WILAYAH PROVINSI </v>
          </cell>
          <cell r="L633" t="str">
            <v>PEMBANGUNAN JALAN PENGHUBUNG</v>
          </cell>
        </row>
        <row r="634">
          <cell r="D634" t="str">
            <v>PWK - 02 E</v>
          </cell>
          <cell r="H634" t="str">
            <v>NANGGROE ACEH DARUSSALAM</v>
          </cell>
          <cell r="L634" t="str">
            <v>TAMAN SRI RATU SAFIATUDDIN</v>
          </cell>
        </row>
        <row r="635">
          <cell r="D635" t="str">
            <v>KONSULTAN</v>
          </cell>
          <cell r="J635" t="str">
            <v>KONTRAKTOR</v>
          </cell>
        </row>
        <row r="636">
          <cell r="J636" t="str">
            <v>PT. SARJIS AGUNG Jo. PT. AYU LESTARI INDAH</v>
          </cell>
        </row>
        <row r="637">
          <cell r="D637" t="str">
            <v>Nomor Mata Pembayaran</v>
          </cell>
          <cell r="J637" t="str">
            <v>Uraian</v>
          </cell>
        </row>
        <row r="638">
          <cell r="D638" t="str">
            <v>7.1 (4)</v>
          </cell>
          <cell r="J638" t="str">
            <v>Beton K.300</v>
          </cell>
        </row>
        <row r="639">
          <cell r="D639" t="str">
            <v>Lokasi :</v>
          </cell>
          <cell r="G639" t="str">
            <v>Kanan dan kiri Jalan</v>
          </cell>
        </row>
        <row r="643">
          <cell r="F643" t="str">
            <v>REKAPITULASI VOLUME BETON K. 300</v>
          </cell>
        </row>
        <row r="645">
          <cell r="F645" t="str">
            <v>No</v>
          </cell>
          <cell r="G645" t="str">
            <v>Uraian</v>
          </cell>
          <cell r="J645" t="str">
            <v>volume (m3)</v>
          </cell>
          <cell r="L645" t="str">
            <v>Keterangan</v>
          </cell>
        </row>
        <row r="648">
          <cell r="F648">
            <v>1</v>
          </cell>
          <cell r="H648" t="str">
            <v>Beton K. 300 pada Box Culvert Panjang 24 m</v>
          </cell>
          <cell r="J648">
            <v>54.599999999999994</v>
          </cell>
          <cell r="L648" t="str">
            <v>Jalur Peralihan</v>
          </cell>
        </row>
        <row r="650">
          <cell r="F650">
            <v>2</v>
          </cell>
          <cell r="H650" t="str">
            <v>Beton K. 300 pada Box Culvert Panjang 7 m</v>
          </cell>
          <cell r="J650">
            <v>14.875</v>
          </cell>
          <cell r="L650" t="str">
            <v>Jalur Peralihan</v>
          </cell>
        </row>
        <row r="652">
          <cell r="F652">
            <v>3</v>
          </cell>
          <cell r="H652" t="str">
            <v>Beton K. 300 pada Plat Beton</v>
          </cell>
          <cell r="J652">
            <v>24.598414999999999</v>
          </cell>
        </row>
        <row r="654">
          <cell r="F654">
            <v>4</v>
          </cell>
          <cell r="H654" t="str">
            <v>Beton K. 300 pada Plat Sta. 0 + 460 (Sambungan Plat)</v>
          </cell>
          <cell r="J654">
            <v>0.95699999999999996</v>
          </cell>
        </row>
        <row r="658">
          <cell r="H658" t="str">
            <v>Total Volume Beton K. 300</v>
          </cell>
          <cell r="J658">
            <v>95.030414999999991</v>
          </cell>
        </row>
        <row r="662">
          <cell r="F662" t="str">
            <v>Volume Beton K. 300 sampai saat ini :</v>
          </cell>
          <cell r="J662">
            <v>95.030414999999991</v>
          </cell>
          <cell r="K662" t="str">
            <v>M3</v>
          </cell>
        </row>
        <row r="664">
          <cell r="F664" t="str">
            <v>Volume Beton K. 300 yang dibayar pada MC No. 1 adalah :</v>
          </cell>
          <cell r="J664">
            <v>91.37</v>
          </cell>
          <cell r="K664" t="str">
            <v>M3</v>
          </cell>
        </row>
        <row r="677">
          <cell r="D677" t="str">
            <v>KONTRAKTOR</v>
          </cell>
          <cell r="I677" t="str">
            <v>KONSULTAN SUPERVISI</v>
          </cell>
          <cell r="L677" t="str">
            <v>DINAS PRASWIL</v>
          </cell>
        </row>
        <row r="686">
          <cell r="D686" t="str">
            <v>General Superitendent</v>
          </cell>
          <cell r="I686" t="str">
            <v>Chief Inspector</v>
          </cell>
          <cell r="L686" t="str">
            <v>Pengawas Lapangan</v>
          </cell>
        </row>
        <row r="688">
          <cell r="D688" t="str">
            <v>ESTIMASI VOLUME</v>
          </cell>
        </row>
        <row r="689">
          <cell r="D689" t="str">
            <v>KEGIATAN PENUNJANG PENANGANAN JALAN PERKOTAAN</v>
          </cell>
        </row>
        <row r="690">
          <cell r="D690" t="str">
            <v>NO. PAKET</v>
          </cell>
          <cell r="H690" t="str">
            <v xml:space="preserve">DINAS PRASARANA WILAYAH PROVINSI </v>
          </cell>
          <cell r="L690" t="str">
            <v>PEMBANGUNAN JALAN PENGHUBUNG</v>
          </cell>
        </row>
        <row r="691">
          <cell r="D691" t="str">
            <v>PWK - 02 E</v>
          </cell>
          <cell r="H691" t="str">
            <v>NANGGROE ACEH DARUSSALAM</v>
          </cell>
          <cell r="L691" t="str">
            <v>TAMAN SRI RATU SAFIATUDDIN</v>
          </cell>
        </row>
        <row r="692">
          <cell r="D692" t="str">
            <v>KONSULTAN</v>
          </cell>
          <cell r="J692" t="str">
            <v>KONTRAKTOR</v>
          </cell>
        </row>
        <row r="693">
          <cell r="J693" t="str">
            <v>PT. SARJIS AGUNG Jo. PT. AYU LESTARI INDAH</v>
          </cell>
        </row>
        <row r="694">
          <cell r="D694" t="str">
            <v>Nomor Mata Pembayaran</v>
          </cell>
          <cell r="J694" t="str">
            <v>Uraian</v>
          </cell>
        </row>
        <row r="695">
          <cell r="D695" t="str">
            <v>7.1 (6)</v>
          </cell>
          <cell r="J695" t="str">
            <v>Beton K.175</v>
          </cell>
        </row>
        <row r="696">
          <cell r="D696" t="str">
            <v>Lokasi :</v>
          </cell>
          <cell r="G696" t="str">
            <v>Kanan dan kiri Jalan</v>
          </cell>
        </row>
        <row r="700">
          <cell r="F700" t="str">
            <v>REKAPITULASI VOLUME BETON K. 175</v>
          </cell>
        </row>
        <row r="702">
          <cell r="F702" t="str">
            <v>No</v>
          </cell>
          <cell r="G702" t="str">
            <v>Uraian</v>
          </cell>
          <cell r="J702" t="str">
            <v>volume (m3)</v>
          </cell>
          <cell r="L702" t="str">
            <v>Keterangan</v>
          </cell>
        </row>
        <row r="705">
          <cell r="F705">
            <v>1</v>
          </cell>
          <cell r="H705" t="str">
            <v>Beton K. 175 pada Kerb Pejalan Kaki</v>
          </cell>
          <cell r="J705">
            <v>26.953499999999998</v>
          </cell>
          <cell r="L705" t="str">
            <v>Arah Kiri + Kanan</v>
          </cell>
        </row>
        <row r="711">
          <cell r="H711" t="str">
            <v>Total Volume Beton K. 175</v>
          </cell>
          <cell r="J711">
            <v>26.953499999999998</v>
          </cell>
        </row>
        <row r="715">
          <cell r="F715" t="str">
            <v>Volume Beton K. 175 sampai saat ini :</v>
          </cell>
          <cell r="J715">
            <v>26.953499999999998</v>
          </cell>
          <cell r="K715" t="str">
            <v>M3</v>
          </cell>
        </row>
        <row r="717">
          <cell r="F717" t="str">
            <v>Volume Beton K. 175 yang dibayar pada MC No. 1 adalah :</v>
          </cell>
          <cell r="J717">
            <v>21.01</v>
          </cell>
          <cell r="K717" t="str">
            <v>M3</v>
          </cell>
        </row>
        <row r="724">
          <cell r="D724" t="str">
            <v>KONTRAKTOR</v>
          </cell>
          <cell r="I724" t="str">
            <v>KONSULTAN SUPERVISI</v>
          </cell>
          <cell r="L724" t="str">
            <v>DINAS PRASWIL</v>
          </cell>
        </row>
        <row r="733">
          <cell r="D733" t="str">
            <v>General Superitendent</v>
          </cell>
          <cell r="I733" t="str">
            <v>Chief Inspector</v>
          </cell>
          <cell r="L733" t="str">
            <v>Pengawas Lapangan</v>
          </cell>
        </row>
        <row r="735">
          <cell r="D735" t="str">
            <v>ESTIMASI VOLUME</v>
          </cell>
        </row>
        <row r="736">
          <cell r="D736" t="str">
            <v>KEGIATAN PENUNJANG PENANGANAN JALAN PERKOTAAN</v>
          </cell>
        </row>
        <row r="737">
          <cell r="D737" t="str">
            <v>NO. PAKET</v>
          </cell>
          <cell r="H737" t="str">
            <v xml:space="preserve">DINAS PRASARANA WILAYAH PROVINSI </v>
          </cell>
          <cell r="L737" t="str">
            <v>PEMBANGUNAN JALAN PENGHUBUNG</v>
          </cell>
        </row>
        <row r="738">
          <cell r="D738" t="str">
            <v>PWK - 02 E</v>
          </cell>
          <cell r="H738" t="str">
            <v>NANGGROE ACEH DARUSSALAM</v>
          </cell>
          <cell r="L738" t="str">
            <v>TAMAN SRI RATU SAFIATUDDIN</v>
          </cell>
        </row>
        <row r="739">
          <cell r="D739" t="str">
            <v>KONSULTAN</v>
          </cell>
          <cell r="J739" t="str">
            <v>KONTRAKTOR</v>
          </cell>
        </row>
        <row r="740">
          <cell r="J740" t="str">
            <v>PT. SARJIS AGUNG Jo. PT. AYU LESTARI INDAH</v>
          </cell>
        </row>
        <row r="741">
          <cell r="D741" t="str">
            <v>Nomor Mata Pembayaran</v>
          </cell>
          <cell r="J741" t="str">
            <v>Uraian</v>
          </cell>
        </row>
        <row r="742">
          <cell r="D742" t="str">
            <v>7.9</v>
          </cell>
          <cell r="J742" t="str">
            <v>Pasangan Batu</v>
          </cell>
        </row>
        <row r="743">
          <cell r="D743" t="str">
            <v>Lokasi :</v>
          </cell>
          <cell r="G743" t="str">
            <v>Kanan dan kiri Jalan</v>
          </cell>
        </row>
        <row r="747">
          <cell r="F747" t="str">
            <v>REKAPITULASI VOLUME PASANGAN BATU</v>
          </cell>
        </row>
        <row r="749">
          <cell r="F749" t="str">
            <v>No</v>
          </cell>
          <cell r="G749" t="str">
            <v>Uraian</v>
          </cell>
          <cell r="J749" t="str">
            <v>volume (m3)</v>
          </cell>
          <cell r="L749" t="str">
            <v>Keterangan</v>
          </cell>
        </row>
        <row r="752">
          <cell r="F752">
            <v>1</v>
          </cell>
          <cell r="H752" t="str">
            <v>Pasangan Batu Pada Plat Beton</v>
          </cell>
          <cell r="J752">
            <v>137.382125</v>
          </cell>
        </row>
        <row r="754">
          <cell r="F754">
            <v>2</v>
          </cell>
          <cell r="H754" t="str">
            <v>Pasangan Batu Tambahan Pada  Saluran Lama</v>
          </cell>
          <cell r="J754">
            <v>154.77249999999998</v>
          </cell>
        </row>
        <row r="763">
          <cell r="H763" t="str">
            <v>Total Volume Pasangan Batu</v>
          </cell>
          <cell r="J763">
            <v>292.15462500000001</v>
          </cell>
        </row>
        <row r="767">
          <cell r="F767" t="str">
            <v>Volume Pasangan Batu sampai saat ini :</v>
          </cell>
          <cell r="J767">
            <v>292.15462500000001</v>
          </cell>
          <cell r="K767" t="str">
            <v>M3</v>
          </cell>
        </row>
        <row r="769">
          <cell r="F769" t="str">
            <v>Volume Pasangan Batu yang dibayar pada MC No. 1 adalah :</v>
          </cell>
          <cell r="J769">
            <v>98.67</v>
          </cell>
          <cell r="K769" t="str">
            <v>M3</v>
          </cell>
        </row>
        <row r="781">
          <cell r="D781" t="str">
            <v>KONTRAKTOR</v>
          </cell>
          <cell r="I781" t="str">
            <v>KONSULTAN SUPERVISI</v>
          </cell>
          <cell r="L781" t="str">
            <v>DINAS PRASWIL</v>
          </cell>
        </row>
        <row r="790">
          <cell r="D790" t="str">
            <v>General Superitendent</v>
          </cell>
          <cell r="I790" t="str">
            <v>Chief Inspector</v>
          </cell>
          <cell r="L790" t="str">
            <v>Pengawas Lapangan</v>
          </cell>
        </row>
        <row r="792">
          <cell r="D792" t="str">
            <v>ESTIMASI VOLUME</v>
          </cell>
        </row>
        <row r="793">
          <cell r="D793" t="str">
            <v>KEGIATAN PENUNJANG PENANGANAN JALAN PERKOTAAN</v>
          </cell>
        </row>
        <row r="794">
          <cell r="D794" t="str">
            <v>NO. PAKET</v>
          </cell>
          <cell r="H794" t="str">
            <v xml:space="preserve">DINAS PRASARANA WILAYAH PROVINSI </v>
          </cell>
          <cell r="L794" t="str">
            <v>PEMBANGUNAN JALAN PENGHUBUNG</v>
          </cell>
        </row>
        <row r="795">
          <cell r="D795" t="str">
            <v>PWK - 02 E</v>
          </cell>
          <cell r="H795" t="str">
            <v>NANGGROE ACEH DARUSSALAM</v>
          </cell>
          <cell r="L795" t="str">
            <v>TAMAN SRI RATU SAFIATUDDIN</v>
          </cell>
        </row>
        <row r="796">
          <cell r="D796" t="str">
            <v>KONSULTAN</v>
          </cell>
          <cell r="J796" t="str">
            <v>KONTRAKTOR</v>
          </cell>
        </row>
        <row r="797">
          <cell r="J797" t="str">
            <v>PT. SARJIS AGUNG Jo. PT. AYU LESTARI INDAH</v>
          </cell>
        </row>
        <row r="798">
          <cell r="D798" t="str">
            <v>Nomor Mata Pembayaran</v>
          </cell>
          <cell r="J798" t="str">
            <v>Uraian</v>
          </cell>
        </row>
        <row r="799">
          <cell r="D799" t="str">
            <v>8.4(10)</v>
          </cell>
          <cell r="J799" t="str">
            <v>Kerb Pracetak</v>
          </cell>
        </row>
        <row r="800">
          <cell r="D800" t="str">
            <v>Lokasi :</v>
          </cell>
          <cell r="G800" t="str">
            <v>Kanan Tengah dan kiri Jalan</v>
          </cell>
        </row>
        <row r="804">
          <cell r="F804" t="str">
            <v>REKAPITULASI VOLUME KERB PRACETAK</v>
          </cell>
        </row>
        <row r="806">
          <cell r="F806" t="str">
            <v>No</v>
          </cell>
          <cell r="G806" t="str">
            <v>Uraian</v>
          </cell>
          <cell r="J806" t="str">
            <v>volume (m')</v>
          </cell>
          <cell r="L806" t="str">
            <v>Keterangan</v>
          </cell>
        </row>
        <row r="809">
          <cell r="F809">
            <v>1</v>
          </cell>
          <cell r="H809" t="str">
            <v>Kerb Pracetak</v>
          </cell>
          <cell r="J809">
            <v>1670.35</v>
          </cell>
        </row>
        <row r="817">
          <cell r="H817" t="str">
            <v>Total Panjang Kerb Pracetak</v>
          </cell>
          <cell r="J817">
            <v>1670.35</v>
          </cell>
        </row>
        <row r="825">
          <cell r="D825" t="str">
            <v>KONTRAKTOR</v>
          </cell>
          <cell r="I825" t="str">
            <v>KONSULTAN SUPERVISI</v>
          </cell>
          <cell r="L825" t="str">
            <v>DINAS PRASWIL</v>
          </cell>
        </row>
        <row r="834">
          <cell r="D834" t="str">
            <v>General Superitendent</v>
          </cell>
          <cell r="I834" t="str">
            <v>Chief Inspector</v>
          </cell>
          <cell r="L834" t="str">
            <v>Pengawas Lapangan</v>
          </cell>
        </row>
        <row r="836">
          <cell r="D836" t="str">
            <v>ESTIMASI VOLUME</v>
          </cell>
        </row>
        <row r="837">
          <cell r="D837" t="str">
            <v>KEGIATAN PENUNJANG PENANGANAN JALAN PERKOTAAN</v>
          </cell>
        </row>
        <row r="838">
          <cell r="D838" t="str">
            <v>NO. PAKET</v>
          </cell>
          <cell r="H838" t="str">
            <v xml:space="preserve">DINAS PRASARANA WILAYAH PROVINSI </v>
          </cell>
          <cell r="L838" t="str">
            <v>PEMBANGUNAN JALAN PENGHUBUNG</v>
          </cell>
        </row>
        <row r="839">
          <cell r="D839" t="str">
            <v>PWK - 02 E</v>
          </cell>
          <cell r="H839" t="str">
            <v>NANGGROE ACEH DARUSSALAM</v>
          </cell>
          <cell r="L839" t="str">
            <v>TAMAN SRI RATU SAFIATUDDIN</v>
          </cell>
        </row>
        <row r="840">
          <cell r="D840" t="str">
            <v>KONSULTAN</v>
          </cell>
          <cell r="J840" t="str">
            <v>KONTRAKTOR</v>
          </cell>
        </row>
        <row r="841">
          <cell r="J841" t="str">
            <v>PT. SARJIS AGUNG Jo. PT. AYU LESTARI INDAH</v>
          </cell>
        </row>
        <row r="842">
          <cell r="D842" t="str">
            <v>Nomor Mata Pembayaran</v>
          </cell>
          <cell r="J842" t="str">
            <v>Uraian</v>
          </cell>
        </row>
        <row r="843">
          <cell r="D843" t="str">
            <v>7.3(1)</v>
          </cell>
          <cell r="J843" t="str">
            <v>Baja Tulangan U.24 Polos</v>
          </cell>
        </row>
        <row r="844">
          <cell r="D844" t="str">
            <v>Lokasi :</v>
          </cell>
          <cell r="G844" t="str">
            <v>Kanan dan kiri Jalan</v>
          </cell>
        </row>
        <row r="848">
          <cell r="F848" t="str">
            <v xml:space="preserve">REKAPITULASI KUANTITAS BAJA TULANGAN </v>
          </cell>
        </row>
        <row r="850">
          <cell r="F850" t="str">
            <v>No</v>
          </cell>
          <cell r="G850" t="str">
            <v>Uraian</v>
          </cell>
          <cell r="J850" t="str">
            <v>Kuantitas (Kg)</v>
          </cell>
          <cell r="L850" t="str">
            <v>Keterangan</v>
          </cell>
        </row>
        <row r="853">
          <cell r="F853">
            <v>1</v>
          </cell>
          <cell r="H853" t="str">
            <v>Box Culvert Panjang 24 meter</v>
          </cell>
          <cell r="J853">
            <v>7986.8105600000008</v>
          </cell>
        </row>
        <row r="854">
          <cell r="F854">
            <v>2</v>
          </cell>
          <cell r="H854" t="str">
            <v>Box Culvert Panjang 7 meter</v>
          </cell>
          <cell r="J854">
            <v>2244.5364928000004</v>
          </cell>
        </row>
        <row r="855">
          <cell r="F855">
            <v>3</v>
          </cell>
          <cell r="H855" t="str">
            <v xml:space="preserve">Plat Beton Jalan Masuk Bawasda </v>
          </cell>
        </row>
        <row r="856">
          <cell r="F856">
            <v>3</v>
          </cell>
          <cell r="H856" t="str">
            <v xml:space="preserve">Plat Beton Jalan Gurami </v>
          </cell>
          <cell r="J856">
            <v>709.30149840000013</v>
          </cell>
        </row>
        <row r="857">
          <cell r="F857">
            <v>4</v>
          </cell>
          <cell r="H857" t="str">
            <v xml:space="preserve">Plat Beton Jalan Kepiting  </v>
          </cell>
          <cell r="J857">
            <v>749.06439200000011</v>
          </cell>
        </row>
        <row r="858">
          <cell r="F858">
            <v>5</v>
          </cell>
          <cell r="H858" t="str">
            <v xml:space="preserve">Plat Beton Jalan Masuk Telkom (arah Masuk) </v>
          </cell>
          <cell r="J858">
            <v>226.11444480000003</v>
          </cell>
        </row>
        <row r="859">
          <cell r="F859">
            <v>6</v>
          </cell>
          <cell r="H859" t="str">
            <v xml:space="preserve">Plat Beton Jalan Masuk Telkom (arah keluar) </v>
          </cell>
          <cell r="J859">
            <v>226.6727472</v>
          </cell>
        </row>
        <row r="860">
          <cell r="F860">
            <v>7</v>
          </cell>
          <cell r="H860" t="str">
            <v xml:space="preserve">Plat Beton Jalan Masuk Warung Kopi </v>
          </cell>
          <cell r="J860">
            <v>292.95290880000005</v>
          </cell>
        </row>
        <row r="861">
          <cell r="F861">
            <v>8</v>
          </cell>
          <cell r="H861" t="str">
            <v xml:space="preserve">Plat Beton Jalan Bandeng  </v>
          </cell>
          <cell r="J861">
            <v>904.44062800000006</v>
          </cell>
        </row>
        <row r="862">
          <cell r="F862">
            <v>9</v>
          </cell>
          <cell r="H862" t="str">
            <v>Plat Beton Jalan Cumi - Cumi</v>
          </cell>
          <cell r="J862">
            <v>929.02308479999999</v>
          </cell>
        </row>
        <row r="863">
          <cell r="F863">
            <v>10</v>
          </cell>
          <cell r="H863" t="str">
            <v xml:space="preserve">Plat Beton Jalan Senangin  </v>
          </cell>
          <cell r="J863">
            <v>986.360544</v>
          </cell>
        </row>
        <row r="864">
          <cell r="F864">
            <v>11</v>
          </cell>
          <cell r="H864" t="str">
            <v xml:space="preserve">Plat Beton Jalan Sepat  </v>
          </cell>
        </row>
        <row r="865">
          <cell r="F865">
            <v>12</v>
          </cell>
          <cell r="H865" t="str">
            <v xml:space="preserve">Plat Beton Jalan Masuk Dekranas  </v>
          </cell>
        </row>
        <row r="866">
          <cell r="F866">
            <v>13</v>
          </cell>
          <cell r="H866" t="str">
            <v xml:space="preserve">Plat Beton Jalan Pintu Masuk Pakir Dekranas (Kiri) </v>
          </cell>
        </row>
        <row r="867">
          <cell r="F867">
            <v>14</v>
          </cell>
          <cell r="H867" t="str">
            <v xml:space="preserve">Plat Beton Jalan Pintu Masuk Pakir Dekranas (Kanan) </v>
          </cell>
        </row>
        <row r="868">
          <cell r="F868">
            <v>15</v>
          </cell>
          <cell r="H868" t="str">
            <v>Footing Tembok Penahan daerah Tambak</v>
          </cell>
        </row>
        <row r="869">
          <cell r="F869">
            <v>11</v>
          </cell>
          <cell r="H869" t="str">
            <v>Plat Beton Penutup Saluran</v>
          </cell>
          <cell r="J869">
            <v>26209.2156732</v>
          </cell>
        </row>
        <row r="870">
          <cell r="F870">
            <v>12</v>
          </cell>
          <cell r="H870" t="str">
            <v>Plat Beton Penyangga Tiang Lampu</v>
          </cell>
        </row>
        <row r="871">
          <cell r="F871">
            <v>12</v>
          </cell>
          <cell r="H871" t="str">
            <v>Plat Beton Penutup Saluran Type VII</v>
          </cell>
          <cell r="J871">
            <v>146.45573999999999</v>
          </cell>
        </row>
        <row r="881">
          <cell r="H881" t="str">
            <v>Total Kuantitas Baja Tulangan (Kg)</v>
          </cell>
          <cell r="J881">
            <v>41610.948713999998</v>
          </cell>
        </row>
        <row r="885">
          <cell r="F885" t="str">
            <v>Volume Baja Tulangan sampai saat ini :</v>
          </cell>
          <cell r="J885">
            <v>41610.948713999998</v>
          </cell>
          <cell r="K885" t="str">
            <v>M3</v>
          </cell>
        </row>
        <row r="887">
          <cell r="F887" t="str">
            <v>Volume Baja Tulangan yang dibayar pada MC No. 1 adalah :</v>
          </cell>
          <cell r="J887">
            <v>31768.1</v>
          </cell>
          <cell r="K887" t="str">
            <v>M3</v>
          </cell>
        </row>
        <row r="901">
          <cell r="D901" t="str">
            <v>KONTRAKTOR</v>
          </cell>
          <cell r="I901" t="str">
            <v>KONSULTAN SUPERVISI</v>
          </cell>
          <cell r="L901" t="str">
            <v>DINAS PRASWIL</v>
          </cell>
        </row>
        <row r="910">
          <cell r="D910" t="str">
            <v>General Superitendent</v>
          </cell>
          <cell r="I910" t="str">
            <v>Chief Inspector</v>
          </cell>
          <cell r="L910" t="str">
            <v>Pengawas Lapangan</v>
          </cell>
        </row>
        <row r="912">
          <cell r="D912" t="str">
            <v>ESTIMASI VOLUME</v>
          </cell>
        </row>
        <row r="913">
          <cell r="D913" t="str">
            <v>KEGIATAN PENUNJANG PENANGANAN JALAN PERKOTAAN</v>
          </cell>
        </row>
        <row r="914">
          <cell r="D914" t="str">
            <v>NO. PAKET</v>
          </cell>
          <cell r="H914" t="str">
            <v xml:space="preserve">DINAS PRASARANA WILAYAH PROVINSI </v>
          </cell>
          <cell r="L914" t="str">
            <v>PEMBANGUNAN JALAN PENGHUBUNG</v>
          </cell>
        </row>
        <row r="915">
          <cell r="D915" t="str">
            <v>PWK - 02 E</v>
          </cell>
          <cell r="H915" t="str">
            <v>NANGGROE ACEH DARUSSALAM</v>
          </cell>
          <cell r="L915" t="str">
            <v>TAMAN SRI RATU SAFIATUDDIN</v>
          </cell>
        </row>
        <row r="916">
          <cell r="D916" t="str">
            <v>KONSULTAN</v>
          </cell>
          <cell r="J916" t="str">
            <v>KONTRAKTOR</v>
          </cell>
        </row>
        <row r="917">
          <cell r="J917" t="str">
            <v>PT. SARJIS AGUNG Jo. PT. AYU LESTARI INDAH</v>
          </cell>
        </row>
        <row r="918">
          <cell r="D918" t="str">
            <v>Nomor Mata Pembayaran</v>
          </cell>
          <cell r="J918" t="str">
            <v>Uraian</v>
          </cell>
        </row>
        <row r="919">
          <cell r="D919" t="str">
            <v>6.2 (1)</v>
          </cell>
          <cell r="J919" t="str">
            <v>Lapis Perekat</v>
          </cell>
        </row>
        <row r="920">
          <cell r="D920" t="str">
            <v>Lokasi :</v>
          </cell>
          <cell r="G920" t="str">
            <v>Kanan dan kiri Jalan</v>
          </cell>
        </row>
        <row r="924">
          <cell r="F924" t="str">
            <v>REKAPITULASI VOLUME LAPIS PEREKAT</v>
          </cell>
        </row>
        <row r="926">
          <cell r="F926" t="str">
            <v>No</v>
          </cell>
          <cell r="G926" t="str">
            <v>Uraian</v>
          </cell>
          <cell r="J926" t="str">
            <v>Volume (Liter)</v>
          </cell>
          <cell r="L926" t="str">
            <v>Keterangan</v>
          </cell>
        </row>
        <row r="929">
          <cell r="F929">
            <v>1</v>
          </cell>
          <cell r="H929" t="str">
            <v>Jalan Lama</v>
          </cell>
          <cell r="J929">
            <v>626.73749999999984</v>
          </cell>
          <cell r="L929" t="str">
            <v>Arah Kanan</v>
          </cell>
        </row>
        <row r="945">
          <cell r="H945" t="str">
            <v>Total Volume Lapis Resap Pengikat</v>
          </cell>
          <cell r="J945">
            <v>626.73749999999984</v>
          </cell>
        </row>
        <row r="953">
          <cell r="D953" t="str">
            <v>KONTRAKTOR</v>
          </cell>
          <cell r="I953" t="str">
            <v>KONSULTAN SUPERVISI</v>
          </cell>
          <cell r="L953" t="str">
            <v>DINAS PRASWIL</v>
          </cell>
        </row>
        <row r="962">
          <cell r="D962" t="str">
            <v>General Superitendent</v>
          </cell>
          <cell r="I962" t="str">
            <v>Chief Inspector</v>
          </cell>
          <cell r="L962" t="str">
            <v>Pengawas Lapangan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 o Q"/>
      <sheetName val="anlsa"/>
      <sheetName val="a-2"/>
      <sheetName val="a-3"/>
      <sheetName val="a-4"/>
      <sheetName val="analisa teknik"/>
      <sheetName val="Upah&amp;Bhn"/>
      <sheetName val="Anl.bahan"/>
      <sheetName val="CURVA S "/>
      <sheetName val="CURVA balok"/>
      <sheetName val="anlsa alat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AW11">
            <v>372059</v>
          </cell>
        </row>
        <row r="19">
          <cell r="AW19">
            <v>206137</v>
          </cell>
        </row>
        <row r="22">
          <cell r="AW22">
            <v>246798</v>
          </cell>
        </row>
        <row r="187">
          <cell r="BP187">
            <v>330000000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Schedulee"/>
      <sheetName val="Koto Panjang"/>
      <sheetName val="harga"/>
      <sheetName val="Rekap Total"/>
      <sheetName val="rab pustu"/>
      <sheetName val="KEMAJUAN PROYEK"/>
      <sheetName val="SCHEDULE"/>
      <sheetName val="Embong-Malang"/>
      <sheetName val="Form A"/>
      <sheetName val="MORTAR 1"/>
      <sheetName val="UPH &amp; BHN"/>
      <sheetName val="DUB"/>
      <sheetName val="BOQ"/>
      <sheetName val="Real Siap badan"/>
      <sheetName val="RAB"/>
      <sheetName val="Daftar Upah&amp;Bahan"/>
      <sheetName val="ANALISA "/>
      <sheetName val="Sat Das"/>
      <sheetName val="HS"/>
      <sheetName val="UPAH"/>
      <sheetName val="II"/>
      <sheetName val="Total"/>
      <sheetName val="Agregat Halus &amp; Kasar"/>
      <sheetName val="SUM DP"/>
      <sheetName val="REKAP RAP"/>
      <sheetName val="DU&amp;B"/>
      <sheetName val="Kuantitas &amp; Harga"/>
      <sheetName val="ANALISA (2)"/>
      <sheetName val="OFFICE"/>
      <sheetName val="5-Peralatan"/>
      <sheetName val="TOWN"/>
      <sheetName val="Input"/>
    </sheetNames>
    <sheetDataSet>
      <sheetData sheetId="0"/>
      <sheetData sheetId="1"/>
      <sheetData sheetId="2" refreshError="1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RUP Oke"/>
      <sheetName val="Rekap"/>
      <sheetName val="Analis"/>
      <sheetName val="H.bh"/>
    </sheetNames>
    <sheetDataSet>
      <sheetData sheetId="0"/>
      <sheetData sheetId="1"/>
      <sheetData sheetId="2"/>
      <sheetData sheetId="3">
        <row r="477">
          <cell r="E477" t="str">
            <v xml:space="preserve">Beton Bertulang Top Gevel </v>
          </cell>
        </row>
      </sheetData>
      <sheetData sheetId="4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ekap"/>
      <sheetName val="V.kantor"/>
      <sheetName val="Kantor"/>
      <sheetName val="V.Kom"/>
      <sheetName val="komp"/>
      <sheetName val="V.rkb"/>
      <sheetName val="2rkb1"/>
      <sheetName val="2rkb2"/>
      <sheetName val="V.mus"/>
      <sheetName val="mus"/>
      <sheetName val="vr.g"/>
      <sheetName val="r.gr"/>
      <sheetName val="r.g betul"/>
      <sheetName val="vr.k"/>
      <sheetName val="rk"/>
      <sheetName val="non standar"/>
      <sheetName val="L.fisika"/>
      <sheetName val="MCK"/>
      <sheetName val="Selas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>
        <row r="19">
          <cell r="J19">
            <v>59787</v>
          </cell>
        </row>
        <row r="63">
          <cell r="J63">
            <v>46040.47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/>
      <sheetData sheetId="1" refreshError="1">
        <row r="947">
          <cell r="I947">
            <v>193.35833333333332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TOT"/>
      <sheetName val="Rekap BQ SBY"/>
      <sheetName val="Sheet1"/>
      <sheetName val="Rincian BQ SBY"/>
      <sheetName val="Rincian BQ GRS"/>
      <sheetName val="Analisa"/>
      <sheetName val="har-sat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J2">
            <v>1</v>
          </cell>
        </row>
        <row r="7">
          <cell r="H7">
            <v>88000</v>
          </cell>
        </row>
        <row r="8">
          <cell r="H8">
            <v>125000</v>
          </cell>
        </row>
        <row r="9">
          <cell r="H9">
            <v>100000</v>
          </cell>
        </row>
        <row r="10">
          <cell r="H10">
            <v>100000</v>
          </cell>
        </row>
        <row r="11">
          <cell r="H11">
            <v>45000</v>
          </cell>
        </row>
        <row r="14">
          <cell r="H14">
            <v>6000</v>
          </cell>
        </row>
        <row r="16">
          <cell r="H16">
            <v>4200</v>
          </cell>
        </row>
        <row r="20">
          <cell r="H20">
            <v>1150</v>
          </cell>
        </row>
        <row r="23">
          <cell r="H23">
            <v>2000000</v>
          </cell>
        </row>
        <row r="24">
          <cell r="H24">
            <v>2750000</v>
          </cell>
        </row>
        <row r="25">
          <cell r="H25">
            <v>775000</v>
          </cell>
        </row>
        <row r="26">
          <cell r="H26">
            <v>750000</v>
          </cell>
        </row>
        <row r="27">
          <cell r="H27">
            <v>800000</v>
          </cell>
        </row>
        <row r="29">
          <cell r="H29">
            <v>28000</v>
          </cell>
        </row>
        <row r="30">
          <cell r="H30">
            <v>62500</v>
          </cell>
        </row>
        <row r="31">
          <cell r="H31">
            <v>31000</v>
          </cell>
        </row>
        <row r="32">
          <cell r="H32">
            <v>255000</v>
          </cell>
        </row>
        <row r="33">
          <cell r="H33">
            <v>210000</v>
          </cell>
        </row>
        <row r="34">
          <cell r="H34">
            <v>29500</v>
          </cell>
        </row>
        <row r="35">
          <cell r="H35">
            <v>30000</v>
          </cell>
        </row>
        <row r="36">
          <cell r="H36">
            <v>14000</v>
          </cell>
        </row>
        <row r="37">
          <cell r="H37">
            <v>26000</v>
          </cell>
        </row>
        <row r="38">
          <cell r="H38">
            <v>22500</v>
          </cell>
        </row>
        <row r="40">
          <cell r="H40">
            <v>43000</v>
          </cell>
        </row>
        <row r="41">
          <cell r="H41">
            <v>25300</v>
          </cell>
        </row>
        <row r="47">
          <cell r="H47">
            <v>18900</v>
          </cell>
        </row>
        <row r="48">
          <cell r="H48">
            <v>30970</v>
          </cell>
        </row>
        <row r="49">
          <cell r="H49">
            <v>4100</v>
          </cell>
        </row>
        <row r="52">
          <cell r="H52">
            <v>52500</v>
          </cell>
        </row>
        <row r="77">
          <cell r="H77">
            <v>37500</v>
          </cell>
        </row>
        <row r="79">
          <cell r="H79">
            <v>37500</v>
          </cell>
        </row>
        <row r="82">
          <cell r="H82">
            <v>27500</v>
          </cell>
        </row>
        <row r="84">
          <cell r="H84">
            <v>35000</v>
          </cell>
        </row>
        <row r="85">
          <cell r="H85">
            <v>35000</v>
          </cell>
        </row>
        <row r="86">
          <cell r="H86">
            <v>30000</v>
          </cell>
        </row>
        <row r="87">
          <cell r="H87">
            <v>32500</v>
          </cell>
        </row>
      </sheetData>
      <sheetData sheetId="7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0.61653755826699685</v>
          </cell>
        </row>
      </sheetData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Rab"/>
      <sheetName val="OLD-DAFT"/>
      <sheetName val="Up Date BOW"/>
      <sheetName val="Bahan"/>
      <sheetName val="Analisa"/>
      <sheetName val="DURP "/>
      <sheetName val="BOW"/>
      <sheetName val="Guide"/>
      <sheetName val="NEW-DAFT"/>
      <sheetName val="Samp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B12" t="str">
            <v xml:space="preserve">G.50.K </v>
          </cell>
        </row>
        <row r="45">
          <cell r="B45" t="str">
            <v>Anl. W4</v>
          </cell>
        </row>
        <row r="60">
          <cell r="B60" t="str">
            <v>Anl. W.2</v>
          </cell>
        </row>
        <row r="68">
          <cell r="B68" t="str">
            <v>Anl. W.3</v>
          </cell>
        </row>
        <row r="221">
          <cell r="B221" t="str">
            <v>G. 2</v>
          </cell>
        </row>
      </sheetData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RAB"/>
      <sheetName val="RAB"/>
      <sheetName val="ANALISA"/>
      <sheetName val="UPAH BAHAN "/>
      <sheetName val="KS (2)"/>
      <sheetName val="KURVA S"/>
      <sheetName val="NP (2)"/>
      <sheetName val="Peralatan"/>
      <sheetName val="NP"/>
      <sheetName val="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BO26" t="str">
            <v xml:space="preserve"> Alat Baru</v>
          </cell>
        </row>
        <row r="27">
          <cell r="BO27">
            <v>1917000000</v>
          </cell>
        </row>
        <row r="46">
          <cell r="BO46" t="str">
            <v xml:space="preserve"> Alat Baru</v>
          </cell>
        </row>
        <row r="47">
          <cell r="BO47">
            <v>385000000</v>
          </cell>
        </row>
        <row r="66">
          <cell r="BO66" t="str">
            <v xml:space="preserve"> Alat Baru</v>
          </cell>
        </row>
        <row r="67">
          <cell r="BO67">
            <v>126000000</v>
          </cell>
        </row>
        <row r="86">
          <cell r="BO86" t="str">
            <v xml:space="preserve"> Alat Baru</v>
          </cell>
        </row>
        <row r="87">
          <cell r="BO87">
            <v>950000000</v>
          </cell>
        </row>
        <row r="106">
          <cell r="BO106" t="str">
            <v xml:space="preserve"> Alat Baru</v>
          </cell>
        </row>
        <row r="107">
          <cell r="BO107">
            <v>82000000</v>
          </cell>
        </row>
        <row r="126">
          <cell r="BO126" t="str">
            <v xml:space="preserve"> Alat Baru</v>
          </cell>
        </row>
        <row r="127">
          <cell r="BO127">
            <v>38000000</v>
          </cell>
        </row>
        <row r="146">
          <cell r="BO146" t="str">
            <v xml:space="preserve"> Alat Baru</v>
          </cell>
        </row>
        <row r="147">
          <cell r="BO147">
            <v>800000000</v>
          </cell>
        </row>
        <row r="166">
          <cell r="BO166" t="str">
            <v xml:space="preserve"> Alat Baru</v>
          </cell>
        </row>
        <row r="167">
          <cell r="BO167">
            <v>209000000</v>
          </cell>
        </row>
        <row r="186">
          <cell r="BO186" t="str">
            <v xml:space="preserve"> Alat Baru</v>
          </cell>
        </row>
        <row r="187">
          <cell r="BO187">
            <v>300000000</v>
          </cell>
        </row>
        <row r="206">
          <cell r="BO206" t="str">
            <v xml:space="preserve"> Alat Baru</v>
          </cell>
        </row>
        <row r="207">
          <cell r="BO207">
            <v>640000000</v>
          </cell>
        </row>
        <row r="226">
          <cell r="BO226" t="str">
            <v xml:space="preserve"> Alat Baru</v>
          </cell>
        </row>
        <row r="227">
          <cell r="BO227">
            <v>158000000</v>
          </cell>
        </row>
        <row r="246">
          <cell r="BO246" t="str">
            <v xml:space="preserve"> Alat Baru</v>
          </cell>
        </row>
        <row r="247">
          <cell r="BO247">
            <v>135000000</v>
          </cell>
        </row>
        <row r="266">
          <cell r="BO266" t="str">
            <v xml:space="preserve"> Alat Baru</v>
          </cell>
        </row>
        <row r="267">
          <cell r="BO267">
            <v>545000000</v>
          </cell>
        </row>
        <row r="286">
          <cell r="BO286" t="str">
            <v xml:space="preserve"> Alat Baru</v>
          </cell>
        </row>
        <row r="287">
          <cell r="BO287">
            <v>600000000</v>
          </cell>
        </row>
        <row r="306">
          <cell r="BO306" t="str">
            <v xml:space="preserve"> Alat Baru</v>
          </cell>
        </row>
        <row r="307">
          <cell r="BO307">
            <v>600000000</v>
          </cell>
        </row>
        <row r="326">
          <cell r="BO326" t="str">
            <v xml:space="preserve"> Alat Baru</v>
          </cell>
        </row>
        <row r="327">
          <cell r="BO327">
            <v>252000000</v>
          </cell>
        </row>
        <row r="346">
          <cell r="BO346" t="str">
            <v xml:space="preserve"> Alat Baru</v>
          </cell>
        </row>
        <row r="347">
          <cell r="BO347">
            <v>350000000</v>
          </cell>
        </row>
        <row r="366">
          <cell r="BO366" t="str">
            <v xml:space="preserve"> Alat Baru</v>
          </cell>
        </row>
        <row r="367">
          <cell r="BO367">
            <v>370000000</v>
          </cell>
        </row>
        <row r="386">
          <cell r="BO386" t="str">
            <v xml:space="preserve"> Alat Baru</v>
          </cell>
        </row>
        <row r="387">
          <cell r="BO387">
            <v>415000000</v>
          </cell>
        </row>
        <row r="406">
          <cell r="BO406" t="str">
            <v xml:space="preserve"> Alat Baru</v>
          </cell>
        </row>
        <row r="407">
          <cell r="BO407">
            <v>20000000</v>
          </cell>
        </row>
        <row r="426">
          <cell r="BO426" t="str">
            <v xml:space="preserve"> Alat Baru</v>
          </cell>
        </row>
        <row r="427">
          <cell r="BO427">
            <v>665000000</v>
          </cell>
        </row>
        <row r="446">
          <cell r="BO446" t="str">
            <v xml:space="preserve"> Alat Baru</v>
          </cell>
        </row>
        <row r="447">
          <cell r="BO447">
            <v>19000000</v>
          </cell>
        </row>
        <row r="466">
          <cell r="BO466" t="str">
            <v xml:space="preserve"> Alat Baru</v>
          </cell>
        </row>
        <row r="467">
          <cell r="BO467">
            <v>140000000</v>
          </cell>
        </row>
        <row r="486">
          <cell r="BO486" t="str">
            <v xml:space="preserve"> Alat Baru</v>
          </cell>
        </row>
        <row r="487">
          <cell r="BO487">
            <v>75000000</v>
          </cell>
        </row>
        <row r="506">
          <cell r="BO506" t="str">
            <v xml:space="preserve"> Alat Baru</v>
          </cell>
        </row>
        <row r="507">
          <cell r="BO507">
            <v>28000000</v>
          </cell>
        </row>
        <row r="526">
          <cell r="BO526" t="str">
            <v xml:space="preserve"> Alat Baru</v>
          </cell>
        </row>
        <row r="527">
          <cell r="BO527">
            <v>28000000</v>
          </cell>
        </row>
        <row r="546">
          <cell r="BO546" t="str">
            <v xml:space="preserve"> Alat Baru</v>
          </cell>
        </row>
        <row r="547">
          <cell r="BO547">
            <v>153000000</v>
          </cell>
        </row>
        <row r="566">
          <cell r="BO566" t="str">
            <v xml:space="preserve"> Alat Baru</v>
          </cell>
        </row>
        <row r="567">
          <cell r="BO567">
            <v>170000000</v>
          </cell>
        </row>
        <row r="586">
          <cell r="BO586" t="str">
            <v xml:space="preserve"> Alat Baru</v>
          </cell>
        </row>
        <row r="587">
          <cell r="BO587">
            <v>360000000</v>
          </cell>
        </row>
        <row r="606">
          <cell r="BO606" t="str">
            <v xml:space="preserve"> Alat Baru</v>
          </cell>
        </row>
        <row r="607">
          <cell r="BO607">
            <v>118000000</v>
          </cell>
        </row>
        <row r="626">
          <cell r="BO626" t="str">
            <v xml:space="preserve"> Alat Baru</v>
          </cell>
        </row>
        <row r="627">
          <cell r="BO627">
            <v>850000000</v>
          </cell>
        </row>
        <row r="646">
          <cell r="BO646" t="str">
            <v xml:space="preserve"> Alat Baru</v>
          </cell>
        </row>
        <row r="647">
          <cell r="BO647">
            <v>22100000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16000000</v>
          </cell>
        </row>
      </sheetData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alatan"/>
      <sheetName val="Peralatan (2)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276000000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Rab"/>
      <sheetName val="OLD-DAFT"/>
      <sheetName val="Up Date BOW"/>
      <sheetName val="Bahan"/>
      <sheetName val="Analisa"/>
      <sheetName val="DURP "/>
      <sheetName val="BOW"/>
      <sheetName val="Guide"/>
      <sheetName val="NEW-DAFT"/>
      <sheetName val="Sampul"/>
    </sheetNames>
    <sheetDataSet>
      <sheetData sheetId="0"/>
      <sheetData sheetId="1"/>
      <sheetData sheetId="2"/>
      <sheetData sheetId="3"/>
      <sheetData sheetId="4"/>
      <sheetData sheetId="5">
        <row r="4">
          <cell r="K4" t="str">
            <v>K - 310</v>
          </cell>
        </row>
        <row r="82">
          <cell r="K82" t="str">
            <v>K - 311</v>
          </cell>
        </row>
        <row r="155">
          <cell r="K155" t="str">
            <v>K - 320</v>
          </cell>
        </row>
        <row r="232">
          <cell r="K232" t="str">
            <v>K - 321</v>
          </cell>
        </row>
        <row r="309">
          <cell r="K309" t="str">
            <v>K - 230</v>
          </cell>
        </row>
        <row r="386">
          <cell r="K386" t="str">
            <v>K - 231</v>
          </cell>
        </row>
        <row r="463">
          <cell r="K463" t="str">
            <v>K - 514</v>
          </cell>
        </row>
        <row r="617">
          <cell r="K617" t="str">
            <v>K - 515</v>
          </cell>
        </row>
        <row r="694">
          <cell r="K694" t="str">
            <v>K - 520</v>
          </cell>
        </row>
        <row r="771">
          <cell r="K771" t="str">
            <v>K - 521</v>
          </cell>
        </row>
        <row r="848">
          <cell r="K848" t="str">
            <v>K - 522</v>
          </cell>
        </row>
        <row r="925">
          <cell r="K925" t="str">
            <v>K - 523</v>
          </cell>
        </row>
        <row r="1002">
          <cell r="K1002" t="str">
            <v>K - 618</v>
          </cell>
        </row>
        <row r="1079">
          <cell r="K1079" t="str">
            <v>K - 638</v>
          </cell>
        </row>
        <row r="1156">
          <cell r="K1156" t="str">
            <v>K - 224</v>
          </cell>
        </row>
        <row r="1310">
          <cell r="K1310" t="str">
            <v>K - 720</v>
          </cell>
        </row>
        <row r="1387">
          <cell r="K1387" t="str">
            <v>K - 810</v>
          </cell>
        </row>
        <row r="1464">
          <cell r="K1464" t="str">
            <v>K - 815</v>
          </cell>
        </row>
        <row r="1541">
          <cell r="K1541" t="str">
            <v>K - 855</v>
          </cell>
        </row>
        <row r="1695">
          <cell r="K1695" t="str">
            <v>K - 865</v>
          </cell>
        </row>
        <row r="1772">
          <cell r="K1772" t="str">
            <v>K - 211</v>
          </cell>
        </row>
        <row r="1849">
          <cell r="K1849" t="str">
            <v>K - 225</v>
          </cell>
        </row>
        <row r="1926">
          <cell r="K1926" t="str">
            <v>K - 705</v>
          </cell>
        </row>
        <row r="2003">
          <cell r="K2003" t="str">
            <v>K - 710</v>
          </cell>
        </row>
        <row r="2078">
          <cell r="B2078" t="str">
            <v>DIREKTORAT JENDRAL BINA MARGA</v>
          </cell>
          <cell r="F2078" t="str">
            <v>ANALISA BIAYA PEKERJAAN</v>
          </cell>
        </row>
        <row r="2079">
          <cell r="B2079" t="str">
            <v>DIREKTORAT BINA PROGRAM JALAN</v>
          </cell>
          <cell r="F2079" t="str">
            <v>PENULANGAN BETON (MEMOTONG, MEMBENGKOK &amp; MEMASANG BESI TULANGAN (MENGGUNAKAN BURUH)</v>
          </cell>
          <cell r="K2079" t="str">
            <v>KODE</v>
          </cell>
        </row>
        <row r="2080">
          <cell r="B2080" t="str">
            <v>SUB DIT. PERENCANAAN JALAN</v>
          </cell>
          <cell r="K2080" t="str">
            <v>K - 715</v>
          </cell>
        </row>
        <row r="2081">
          <cell r="B2081" t="str">
            <v>LOKAL &amp; KABUPATEN</v>
          </cell>
        </row>
        <row r="2083">
          <cell r="B2083" t="str">
            <v xml:space="preserve">  Propinsi :</v>
          </cell>
          <cell r="E2083" t="str">
            <v>Kode :</v>
          </cell>
          <cell r="F2083" t="str">
            <v xml:space="preserve">  Kabupaten</v>
          </cell>
          <cell r="H2083" t="str">
            <v>Kode</v>
          </cell>
          <cell r="I2083" t="str">
            <v xml:space="preserve">Dipersiapkan    : </v>
          </cell>
        </row>
        <row r="2084">
          <cell r="B2084" t="str">
            <v xml:space="preserve">  Nanggroe Aceh Darussalam</v>
          </cell>
          <cell r="E2084">
            <v>11</v>
          </cell>
          <cell r="F2084" t="str">
            <v xml:space="preserve">  PIDIE</v>
          </cell>
          <cell r="H2084">
            <v>7</v>
          </cell>
          <cell r="I2084" t="str">
            <v xml:space="preserve">Tanggal            : </v>
          </cell>
        </row>
        <row r="2086">
          <cell r="B2086" t="str">
            <v xml:space="preserve">  Uraian :</v>
          </cell>
          <cell r="F2086" t="str">
            <v xml:space="preserve">  Anggapan/Asumsi :</v>
          </cell>
        </row>
        <row r="2088">
          <cell r="B2088" t="str">
            <v xml:space="preserve">  1. Batang Besi dipotong sesuai ukuran yang</v>
          </cell>
          <cell r="F2088" t="str">
            <v xml:space="preserve">  1. 200 Kg Baja disiapkan dalam satu hari</v>
          </cell>
        </row>
        <row r="2089">
          <cell r="B2089" t="str">
            <v xml:space="preserve">      diperlukan </v>
          </cell>
          <cell r="F2089" t="str">
            <v xml:space="preserve">  2. Besi Tulangan dikirim ketempat pekerjaan oleh pemasok </v>
          </cell>
        </row>
        <row r="2090">
          <cell r="B2090" t="str">
            <v xml:space="preserve">  2. Batang dan Begel Besi Beton dibengkok</v>
          </cell>
          <cell r="F2090" t="str">
            <v xml:space="preserve">  3. Penyusutan akibat pemotongan 10 % dan pakai Kawat Baja  dll</v>
          </cell>
        </row>
        <row r="2091">
          <cell r="B2091" t="str">
            <v xml:space="preserve">      kan sesuai yang diperlukan</v>
          </cell>
          <cell r="F2091" t="str">
            <v xml:space="preserve">      dianggap 1 %</v>
          </cell>
        </row>
        <row r="2092">
          <cell r="B2092" t="str">
            <v xml:space="preserve">  3. Perakitan Tulangan Besi Beton dan diikat</v>
          </cell>
          <cell r="F2092" t="str">
            <v xml:space="preserve">  4. Membengkok dan memasang Batang Besi Beton dilaksanakan </v>
          </cell>
        </row>
        <row r="2093">
          <cell r="B2093" t="str">
            <v xml:space="preserve">      dengan Kawat Baja</v>
          </cell>
          <cell r="F2093" t="str">
            <v xml:space="preserve">      dengan tangan</v>
          </cell>
        </row>
        <row r="2094">
          <cell r="F2094" t="str">
            <v xml:space="preserve">  5. Panjang &amp; Diameter Besi Tulangan yang biasa dipakai gorong-gorong dll</v>
          </cell>
        </row>
        <row r="2095">
          <cell r="F2095" t="str">
            <v xml:space="preserve">  6. 0,8 orang hari memotong 200 Kg Batang Besi Beton</v>
          </cell>
        </row>
        <row r="2096">
          <cell r="F2096" t="str">
            <v xml:space="preserve">  7. 1,0 orang hari membengkok 200 Kg Batang Besi Beton</v>
          </cell>
        </row>
        <row r="2097">
          <cell r="F2097" t="str">
            <v xml:space="preserve">  8. 1,2 orang hari memasang dan mengikat 200 Kg Tulangan Besi</v>
          </cell>
        </row>
        <row r="2098">
          <cell r="F2098" t="str">
            <v xml:space="preserve">  9. Umur alat bantu rata-rata 1 bulan/orang set @ 3 alat</v>
          </cell>
        </row>
        <row r="2100">
          <cell r="F2100">
            <v>0</v>
          </cell>
        </row>
        <row r="2102">
          <cell r="B2102" t="str">
            <v>PEKERJA</v>
          </cell>
          <cell r="E2102" t="str">
            <v>JML</v>
          </cell>
          <cell r="F2102" t="str">
            <v>Hari</v>
          </cell>
          <cell r="G2102" t="str">
            <v>Kode</v>
          </cell>
          <cell r="H2102" t="str">
            <v>Jumlah</v>
          </cell>
          <cell r="I2102" t="str">
            <v>Upah</v>
          </cell>
          <cell r="J2102" t="str">
            <v>Biaya</v>
          </cell>
          <cell r="K2102" t="str">
            <v>Sub Jumlah</v>
          </cell>
        </row>
        <row r="2103">
          <cell r="E2103" t="str">
            <v>Org</v>
          </cell>
          <cell r="H2103" t="str">
            <v>Hr/Org</v>
          </cell>
          <cell r="I2103" t="str">
            <v>Rp./Hr/Org</v>
          </cell>
          <cell r="J2103" t="str">
            <v>Rp</v>
          </cell>
          <cell r="K2103" t="str">
            <v>Rp</v>
          </cell>
        </row>
        <row r="2106">
          <cell r="B2106" t="str">
            <v xml:space="preserve">  Mandor Lapangan</v>
          </cell>
          <cell r="E2106">
            <v>1</v>
          </cell>
          <cell r="F2106">
            <v>1</v>
          </cell>
          <cell r="G2106" t="str">
            <v>L.061</v>
          </cell>
          <cell r="H2106">
            <v>1</v>
          </cell>
          <cell r="I2106">
            <v>36000</v>
          </cell>
          <cell r="J2106">
            <v>36000</v>
          </cell>
        </row>
        <row r="2107">
          <cell r="B2107" t="str">
            <v xml:space="preserve">  Tukang Kepala</v>
          </cell>
          <cell r="E2107">
            <v>1</v>
          </cell>
          <cell r="F2107">
            <v>1</v>
          </cell>
          <cell r="G2107" t="str">
            <v>L.073</v>
          </cell>
          <cell r="H2107">
            <v>1</v>
          </cell>
          <cell r="I2107">
            <v>40000</v>
          </cell>
          <cell r="J2107">
            <v>40000</v>
          </cell>
        </row>
        <row r="2108">
          <cell r="B2108" t="str">
            <v xml:space="preserve">  Buruh Agak Terampil</v>
          </cell>
          <cell r="E2108">
            <v>2</v>
          </cell>
          <cell r="F2108">
            <v>1</v>
          </cell>
          <cell r="G2108" t="str">
            <v>L.103</v>
          </cell>
          <cell r="H2108">
            <v>2</v>
          </cell>
          <cell r="I2108">
            <v>30000</v>
          </cell>
          <cell r="J2108">
            <v>60000</v>
          </cell>
        </row>
        <row r="2109">
          <cell r="B2109" t="str">
            <v xml:space="preserve">  Buruh Tak Terampil</v>
          </cell>
          <cell r="E2109">
            <v>1</v>
          </cell>
          <cell r="F2109">
            <v>1</v>
          </cell>
          <cell r="G2109" t="str">
            <v>L.101</v>
          </cell>
          <cell r="H2109">
            <v>1</v>
          </cell>
          <cell r="I2109">
            <v>30000</v>
          </cell>
          <cell r="J2109">
            <v>30000</v>
          </cell>
        </row>
        <row r="2114">
          <cell r="K2114">
            <v>166000</v>
          </cell>
        </row>
        <row r="2115">
          <cell r="I2115">
            <v>0</v>
          </cell>
        </row>
        <row r="2117">
          <cell r="B2117" t="str">
            <v>MATERIAL</v>
          </cell>
          <cell r="E2117" t="str">
            <v>Jumlah</v>
          </cell>
          <cell r="F2117" t="str">
            <v>Volume</v>
          </cell>
          <cell r="G2117" t="str">
            <v>Kode</v>
          </cell>
          <cell r="I2117" t="str">
            <v>Harga Satuan</v>
          </cell>
          <cell r="J2117" t="str">
            <v>Biaya</v>
          </cell>
        </row>
        <row r="2118">
          <cell r="F2118" t="str">
            <v>Satuan</v>
          </cell>
          <cell r="I2118" t="str">
            <v>Rp</v>
          </cell>
          <cell r="J2118" t="str">
            <v>Rp</v>
          </cell>
        </row>
        <row r="2120">
          <cell r="B2120" t="str">
            <v xml:space="preserve">  Tulangan Besi Beton</v>
          </cell>
          <cell r="E2120">
            <v>225</v>
          </cell>
          <cell r="F2120" t="str">
            <v>Kg</v>
          </cell>
          <cell r="G2120" t="str">
            <v>M.167</v>
          </cell>
          <cell r="I2120">
            <v>5500</v>
          </cell>
          <cell r="J2120">
            <v>1237500</v>
          </cell>
        </row>
        <row r="2121">
          <cell r="B2121" t="str">
            <v xml:space="preserve">  Alat Bantu</v>
          </cell>
          <cell r="E2121">
            <v>0.2</v>
          </cell>
          <cell r="F2121" t="str">
            <v>Set</v>
          </cell>
          <cell r="G2121" t="str">
            <v>M.170</v>
          </cell>
          <cell r="I2121">
            <v>40000</v>
          </cell>
          <cell r="J2121">
            <v>8000</v>
          </cell>
        </row>
        <row r="2130">
          <cell r="K2130">
            <v>1245500</v>
          </cell>
        </row>
        <row r="2133">
          <cell r="B2133" t="str">
            <v>PERALATAN</v>
          </cell>
          <cell r="E2133" t="str">
            <v>JML</v>
          </cell>
          <cell r="F2133" t="str">
            <v>Hari</v>
          </cell>
          <cell r="G2133" t="str">
            <v>Kode</v>
          </cell>
          <cell r="H2133" t="str">
            <v>Jam</v>
          </cell>
          <cell r="I2133" t="str">
            <v>Biaya</v>
          </cell>
          <cell r="J2133" t="str">
            <v>Biaya</v>
          </cell>
        </row>
        <row r="2134">
          <cell r="E2134" t="str">
            <v>Alat</v>
          </cell>
          <cell r="F2134" t="str">
            <v>Kerja</v>
          </cell>
          <cell r="H2134" t="str">
            <v>Kerja</v>
          </cell>
          <cell r="I2134" t="str">
            <v>Rp/Jam</v>
          </cell>
          <cell r="J2134" t="str">
            <v>Rp</v>
          </cell>
        </row>
        <row r="2147">
          <cell r="B2147" t="str">
            <v>VOLUME / QUANTITY :</v>
          </cell>
          <cell r="F2147">
            <v>200</v>
          </cell>
          <cell r="J2147" t="str">
            <v>JUMLAH</v>
          </cell>
          <cell r="K2147">
            <v>1411500</v>
          </cell>
        </row>
        <row r="2148">
          <cell r="B2148" t="str">
            <v>SATUAN</v>
          </cell>
          <cell r="F2148" t="str">
            <v>Kg</v>
          </cell>
        </row>
        <row r="2150">
          <cell r="G2150" t="str">
            <v>HARGA SATUAN :  Rp.</v>
          </cell>
          <cell r="I2150">
            <v>7057.5</v>
          </cell>
          <cell r="J2150" t="str">
            <v>PER : Kg</v>
          </cell>
        </row>
        <row r="2157">
          <cell r="K2157" t="str">
            <v>K - 612</v>
          </cell>
        </row>
        <row r="2388">
          <cell r="K2388" t="str">
            <v>K - 513</v>
          </cell>
        </row>
        <row r="2542">
          <cell r="K2542" t="str">
            <v>K - 516</v>
          </cell>
        </row>
        <row r="2619">
          <cell r="K2619" t="str">
            <v>K - 421</v>
          </cell>
        </row>
        <row r="2696">
          <cell r="K2696" t="str">
            <v>K - 422</v>
          </cell>
        </row>
        <row r="2773">
          <cell r="K2773" t="str">
            <v>K - 424</v>
          </cell>
        </row>
        <row r="2850">
          <cell r="K2850" t="str">
            <v>K - 511</v>
          </cell>
        </row>
        <row r="2927">
          <cell r="K2927" t="str">
            <v>K - 512</v>
          </cell>
        </row>
        <row r="3004">
          <cell r="K3004" t="str">
            <v>K - 510</v>
          </cell>
        </row>
        <row r="3158">
          <cell r="K3158" t="str">
            <v>K - 125</v>
          </cell>
        </row>
        <row r="3235">
          <cell r="K3235" t="str">
            <v>K - 124</v>
          </cell>
        </row>
        <row r="3312">
          <cell r="K3312" t="str">
            <v>K - 123</v>
          </cell>
        </row>
        <row r="3389">
          <cell r="K3389" t="str">
            <v>K - 122</v>
          </cell>
        </row>
        <row r="3466">
          <cell r="K3466" t="str">
            <v>K - 158</v>
          </cell>
        </row>
        <row r="3543">
          <cell r="K3543" t="str">
            <v>K - 210</v>
          </cell>
        </row>
        <row r="3620">
          <cell r="K3620" t="str">
            <v>K - 220</v>
          </cell>
        </row>
        <row r="3697">
          <cell r="K3697" t="str">
            <v>K - 221</v>
          </cell>
        </row>
        <row r="3774">
          <cell r="K3774" t="str">
            <v>K - 010</v>
          </cell>
        </row>
        <row r="3851">
          <cell r="K3851" t="str">
            <v>K - 011</v>
          </cell>
        </row>
        <row r="3928">
          <cell r="K3928" t="str">
            <v>K - 012</v>
          </cell>
        </row>
        <row r="4005">
          <cell r="K4005" t="str">
            <v>K - 013</v>
          </cell>
        </row>
        <row r="4082">
          <cell r="K4082" t="str">
            <v>K - 014</v>
          </cell>
        </row>
        <row r="4159">
          <cell r="K4159" t="str">
            <v>K - 016</v>
          </cell>
        </row>
        <row r="4236">
          <cell r="K4236" t="str">
            <v>K - 017</v>
          </cell>
        </row>
        <row r="4313">
          <cell r="K4313" t="str">
            <v>K - 018</v>
          </cell>
        </row>
        <row r="4390">
          <cell r="K4390" t="str">
            <v>K - 020</v>
          </cell>
        </row>
        <row r="4467">
          <cell r="K4467" t="str">
            <v>K - 023</v>
          </cell>
        </row>
        <row r="4544">
          <cell r="K4544" t="str">
            <v>K - 024</v>
          </cell>
        </row>
        <row r="4621">
          <cell r="K4621" t="str">
            <v>K - 025</v>
          </cell>
        </row>
        <row r="4698">
          <cell r="K4698" t="str">
            <v>K - 026</v>
          </cell>
        </row>
        <row r="4775">
          <cell r="K4775" t="str">
            <v>K - 030</v>
          </cell>
        </row>
        <row r="4852">
          <cell r="K4852" t="str">
            <v>K - 035</v>
          </cell>
        </row>
        <row r="4929">
          <cell r="K4929" t="str">
            <v>K - 040</v>
          </cell>
        </row>
        <row r="5006">
          <cell r="K5006" t="str">
            <v>K - 110</v>
          </cell>
        </row>
        <row r="5083">
          <cell r="K5083" t="str">
            <v>K - 111</v>
          </cell>
        </row>
        <row r="5160">
          <cell r="K5160" t="str">
            <v>K - 112</v>
          </cell>
        </row>
        <row r="5237">
          <cell r="K5237" t="str">
            <v>K - 113</v>
          </cell>
        </row>
        <row r="5314">
          <cell r="K5314" t="str">
            <v>K - 114</v>
          </cell>
        </row>
        <row r="5391">
          <cell r="K5391" t="str">
            <v>K - 115</v>
          </cell>
        </row>
        <row r="5468">
          <cell r="K5468" t="str">
            <v>K - 116</v>
          </cell>
        </row>
        <row r="5545">
          <cell r="K5545" t="str">
            <v>K - 117</v>
          </cell>
        </row>
        <row r="5622">
          <cell r="K5622" t="str">
            <v>K - 118</v>
          </cell>
        </row>
        <row r="5699">
          <cell r="K5699" t="str">
            <v>K - 121</v>
          </cell>
        </row>
        <row r="5776">
          <cell r="K5776" t="str">
            <v>K - 411</v>
          </cell>
        </row>
        <row r="5853">
          <cell r="K5853" t="str">
            <v>K - 341</v>
          </cell>
        </row>
        <row r="5930">
          <cell r="K5930" t="str">
            <v>K - 342</v>
          </cell>
        </row>
        <row r="6007">
          <cell r="K6007" t="str">
            <v>K - 410</v>
          </cell>
        </row>
        <row r="6084">
          <cell r="K6084" t="str">
            <v>K - 232</v>
          </cell>
        </row>
        <row r="6161">
          <cell r="K6161" t="str">
            <v>K - 233</v>
          </cell>
        </row>
        <row r="6467">
          <cell r="B6467" t="str">
            <v>DIREKTORAT JENDRAL BINA MARGA</v>
          </cell>
          <cell r="F6467" t="str">
            <v xml:space="preserve">ANALISA  BIAYA  PEKERJAAN </v>
          </cell>
        </row>
        <row r="6468">
          <cell r="B6468" t="str">
            <v>DIREKTORAT BINA PROGRAM JALAN</v>
          </cell>
          <cell r="F6468" t="str">
            <v>GORONG-GORONG KOTAK (  1.5 M X 1.5 M x 8 M ) BETON BERTULANG TIDAK TERMASUK DINDING KEPALA (MENGUNAKAN BURUH)</v>
          </cell>
          <cell r="K6468" t="str">
            <v>KODE</v>
          </cell>
        </row>
        <row r="6469">
          <cell r="B6469" t="str">
            <v>SUB DIT. PERENCANAAN JALAN</v>
          </cell>
          <cell r="K6469" t="str">
            <v>K - 131</v>
          </cell>
        </row>
        <row r="6470">
          <cell r="B6470" t="str">
            <v>LOKAL &amp; KABUPATEN</v>
          </cell>
        </row>
        <row r="6472">
          <cell r="B6472" t="str">
            <v xml:space="preserve">  Propinsi :</v>
          </cell>
          <cell r="E6472" t="str">
            <v>Kode :</v>
          </cell>
          <cell r="F6472" t="str">
            <v xml:space="preserve">  Kabupaten</v>
          </cell>
          <cell r="H6472" t="str">
            <v>Kode</v>
          </cell>
          <cell r="I6472" t="str">
            <v xml:space="preserve">Dipersiapkan    : </v>
          </cell>
        </row>
        <row r="6473">
          <cell r="B6473" t="str">
            <v xml:space="preserve">  Nanggroe Aceh Darussalam</v>
          </cell>
          <cell r="E6473">
            <v>11</v>
          </cell>
          <cell r="F6473" t="str">
            <v xml:space="preserve">  PIDIE</v>
          </cell>
          <cell r="H6473">
            <v>7</v>
          </cell>
          <cell r="I6473" t="str">
            <v xml:space="preserve">Tanggal            : </v>
          </cell>
        </row>
        <row r="6475">
          <cell r="B6475" t="str">
            <v xml:space="preserve">  Uraian :</v>
          </cell>
          <cell r="F6475" t="str">
            <v xml:space="preserve">  Anggapan/Asumsi :</v>
          </cell>
        </row>
        <row r="6477">
          <cell r="B6477" t="str">
            <v xml:space="preserve">  1.  Gali dengan tenaga manusia (50 m3)</v>
          </cell>
          <cell r="F6477" t="str">
            <v xml:space="preserve">  1. H x S x tw = 1,5 m x 1,5 m x 21 cm</v>
          </cell>
        </row>
        <row r="6478">
          <cell r="B6478" t="str">
            <v xml:space="preserve">  2.  Padatkan daerah dasar 20 cm2</v>
          </cell>
          <cell r="F6478" t="str">
            <v xml:space="preserve">  2. Pengiriman material sampai ke tempat pekerjaan</v>
          </cell>
        </row>
        <row r="6479">
          <cell r="B6479" t="str">
            <v xml:space="preserve">  3.  Cor lantai dasar beton (0.8 m3)</v>
          </cell>
          <cell r="F6479" t="str">
            <v xml:space="preserve">  3. Buang galian sejauh 1 km</v>
          </cell>
        </row>
        <row r="6480">
          <cell r="B6480" t="str">
            <v xml:space="preserve">  4.  Buat begisting (67 m2)</v>
          </cell>
          <cell r="F6480" t="str">
            <v xml:space="preserve">  4. Lantai dasar beton klas C tebal 5 cm</v>
          </cell>
        </row>
        <row r="6481">
          <cell r="B6481" t="str">
            <v xml:space="preserve">  5.  Pasang pembesian (1075 kg)</v>
          </cell>
          <cell r="F6481" t="str">
            <v xml:space="preserve">  5. Sepertiga bekas begisting, dapat dipakai lagi</v>
          </cell>
        </row>
        <row r="6482">
          <cell r="B6482" t="str">
            <v xml:space="preserve">  6.  Cor beton struktur (11,7 m3)</v>
          </cell>
          <cell r="F6482" t="str">
            <v xml:space="preserve">  6. Pembesian 134,5 kg/m dengan kapasitas 100 kg/orang-hari</v>
          </cell>
        </row>
        <row r="6483">
          <cell r="B6483" t="str">
            <v xml:space="preserve">  7.  Bongkar begisting timbun dengan urugan yang</v>
          </cell>
          <cell r="F6483" t="str">
            <v xml:space="preserve">  7. Cor beton struktur klas A dalam 2 tahap</v>
          </cell>
        </row>
        <row r="6484">
          <cell r="B6484" t="str">
            <v xml:space="preserve">       baik dan padatkan 9 m3</v>
          </cell>
          <cell r="F6484" t="str">
            <v xml:space="preserve">  8. Tidak termasuk dinding kepala</v>
          </cell>
        </row>
        <row r="6485">
          <cell r="F6485" t="str">
            <v xml:space="preserve">  9. Upah tukang dimasukkan dalam biaya produksi</v>
          </cell>
        </row>
        <row r="6490">
          <cell r="B6490" t="str">
            <v>PEKERJA</v>
          </cell>
          <cell r="E6490" t="str">
            <v>JML</v>
          </cell>
          <cell r="F6490" t="str">
            <v>Hari</v>
          </cell>
          <cell r="G6490" t="str">
            <v>Kode</v>
          </cell>
          <cell r="H6490" t="str">
            <v>Jumlah</v>
          </cell>
          <cell r="I6490" t="str">
            <v>Upah</v>
          </cell>
          <cell r="J6490" t="str">
            <v>Biaya</v>
          </cell>
          <cell r="K6490" t="str">
            <v>Sub Jumlah</v>
          </cell>
        </row>
        <row r="6491">
          <cell r="E6491" t="str">
            <v>Org</v>
          </cell>
          <cell r="H6491" t="str">
            <v>Hr/Org</v>
          </cell>
          <cell r="I6491" t="str">
            <v>Rp./Hr/Org</v>
          </cell>
          <cell r="J6491" t="str">
            <v>Rp</v>
          </cell>
          <cell r="K6491" t="str">
            <v>Rp</v>
          </cell>
        </row>
        <row r="6494">
          <cell r="B6494" t="str">
            <v xml:space="preserve">  Mandor </v>
          </cell>
          <cell r="E6494">
            <v>2</v>
          </cell>
          <cell r="F6494">
            <v>6</v>
          </cell>
          <cell r="G6494" t="str">
            <v>L.061</v>
          </cell>
          <cell r="H6494">
            <v>12</v>
          </cell>
          <cell r="I6494">
            <v>36000</v>
          </cell>
          <cell r="J6494">
            <v>432000</v>
          </cell>
        </row>
        <row r="6495">
          <cell r="B6495" t="str">
            <v xml:space="preserve">  Supir </v>
          </cell>
          <cell r="E6495">
            <v>1</v>
          </cell>
          <cell r="F6495">
            <v>3</v>
          </cell>
          <cell r="G6495" t="str">
            <v>L.091</v>
          </cell>
          <cell r="H6495">
            <v>3</v>
          </cell>
          <cell r="I6495">
            <v>35000</v>
          </cell>
          <cell r="J6495">
            <v>105000</v>
          </cell>
        </row>
        <row r="6496">
          <cell r="B6496" t="str">
            <v xml:space="preserve">  Buruh tak terlatih</v>
          </cell>
          <cell r="E6496">
            <v>8</v>
          </cell>
          <cell r="F6496">
            <v>6</v>
          </cell>
          <cell r="G6496" t="str">
            <v>L.101</v>
          </cell>
          <cell r="H6496">
            <v>48</v>
          </cell>
          <cell r="I6496">
            <v>30000</v>
          </cell>
          <cell r="J6496">
            <v>1440000</v>
          </cell>
        </row>
        <row r="6497">
          <cell r="B6497" t="str">
            <v xml:space="preserve">  Buruh  terlatih</v>
          </cell>
          <cell r="E6497">
            <v>2</v>
          </cell>
          <cell r="F6497">
            <v>6</v>
          </cell>
          <cell r="G6497" t="str">
            <v>L.106</v>
          </cell>
          <cell r="H6497">
            <v>12</v>
          </cell>
          <cell r="I6497">
            <v>35000</v>
          </cell>
          <cell r="J6497">
            <v>420000</v>
          </cell>
        </row>
        <row r="6498">
          <cell r="B6498" t="str">
            <v xml:space="preserve">  Tukang batu</v>
          </cell>
          <cell r="E6498">
            <v>1</v>
          </cell>
          <cell r="F6498">
            <v>6</v>
          </cell>
          <cell r="G6498" t="str">
            <v>BOW</v>
          </cell>
          <cell r="H6498">
            <v>6</v>
          </cell>
          <cell r="I6498">
            <v>36000</v>
          </cell>
          <cell r="J6498">
            <v>216000</v>
          </cell>
        </row>
        <row r="6503">
          <cell r="K6503">
            <v>2613000</v>
          </cell>
        </row>
        <row r="6506">
          <cell r="B6506" t="str">
            <v>MATERIAL</v>
          </cell>
          <cell r="E6506" t="str">
            <v>Jumlah</v>
          </cell>
          <cell r="F6506" t="str">
            <v>Volume</v>
          </cell>
          <cell r="G6506" t="str">
            <v>Kode</v>
          </cell>
          <cell r="I6506" t="str">
            <v>Harga Satuan</v>
          </cell>
          <cell r="J6506" t="str">
            <v>Biaya</v>
          </cell>
        </row>
        <row r="6507">
          <cell r="F6507" t="str">
            <v>Satuan</v>
          </cell>
          <cell r="I6507" t="str">
            <v>Rp</v>
          </cell>
          <cell r="J6507" t="str">
            <v>Rp</v>
          </cell>
        </row>
        <row r="6509">
          <cell r="B6509" t="str">
            <v xml:space="preserve">  Alat bantu  </v>
          </cell>
          <cell r="E6509">
            <v>1.2</v>
          </cell>
          <cell r="F6509" t="str">
            <v>Set</v>
          </cell>
          <cell r="G6509" t="str">
            <v>M.170</v>
          </cell>
          <cell r="I6509">
            <v>40000</v>
          </cell>
          <cell r="J6509">
            <v>48000</v>
          </cell>
        </row>
        <row r="6510">
          <cell r="B6510" t="str">
            <v xml:space="preserve">  Pembesian</v>
          </cell>
          <cell r="E6510">
            <v>1075</v>
          </cell>
          <cell r="F6510" t="str">
            <v>kg</v>
          </cell>
          <cell r="G6510" t="str">
            <v>K.175</v>
          </cell>
          <cell r="I6510">
            <v>7057.5</v>
          </cell>
          <cell r="J6510">
            <v>7586812.5</v>
          </cell>
        </row>
        <row r="6511">
          <cell r="B6511" t="str">
            <v xml:space="preserve">  Begisting</v>
          </cell>
          <cell r="E6511">
            <v>67</v>
          </cell>
          <cell r="F6511" t="str">
            <v>m2</v>
          </cell>
          <cell r="G6511" t="str">
            <v>K.710</v>
          </cell>
          <cell r="I6511">
            <v>66470</v>
          </cell>
          <cell r="J6511">
            <v>4453490</v>
          </cell>
        </row>
        <row r="6512">
          <cell r="B6512" t="str">
            <v xml:space="preserve">  Timbunan konstruksi</v>
          </cell>
          <cell r="E6512">
            <v>20</v>
          </cell>
          <cell r="F6512" t="str">
            <v>m3</v>
          </cell>
          <cell r="G6512" t="str">
            <v>K.225</v>
          </cell>
          <cell r="I6512">
            <v>90033.333333333328</v>
          </cell>
          <cell r="J6512">
            <v>1800666.6666666665</v>
          </cell>
        </row>
        <row r="6513">
          <cell r="B6513" t="str">
            <v xml:space="preserve">  Batu pecah 1-2 cm</v>
          </cell>
          <cell r="E6513">
            <v>8.5</v>
          </cell>
          <cell r="F6513" t="str">
            <v>m3</v>
          </cell>
          <cell r="G6513" t="str">
            <v>M.025</v>
          </cell>
          <cell r="I6513" t="e">
            <v>#REF!</v>
          </cell>
          <cell r="J6513" t="e">
            <v>#REF!</v>
          </cell>
        </row>
        <row r="6514">
          <cell r="B6514" t="str">
            <v xml:space="preserve">  Pasir beton</v>
          </cell>
          <cell r="E6514">
            <v>6.7</v>
          </cell>
          <cell r="F6514" t="str">
            <v>m3</v>
          </cell>
          <cell r="G6514" t="str">
            <v>M.041</v>
          </cell>
          <cell r="I6514">
            <v>68000</v>
          </cell>
          <cell r="J6514">
            <v>455600</v>
          </cell>
        </row>
        <row r="6515">
          <cell r="B6515" t="str">
            <v xml:space="preserve">  Semen</v>
          </cell>
          <cell r="E6515">
            <v>96.2</v>
          </cell>
          <cell r="F6515" t="str">
            <v>zak</v>
          </cell>
          <cell r="G6515" t="str">
            <v>M.080</v>
          </cell>
          <cell r="I6515">
            <v>26500</v>
          </cell>
          <cell r="J6515">
            <v>2549300</v>
          </cell>
        </row>
        <row r="6516">
          <cell r="B6516" t="str">
            <v xml:space="preserve">  Kerikil Kali disaring</v>
          </cell>
          <cell r="E6516">
            <v>1</v>
          </cell>
          <cell r="F6516" t="str">
            <v>m3</v>
          </cell>
          <cell r="G6516" t="str">
            <v>M.016</v>
          </cell>
          <cell r="I6516">
            <v>117100</v>
          </cell>
          <cell r="J6516">
            <v>117100</v>
          </cell>
        </row>
        <row r="6519">
          <cell r="K6519" t="e">
            <v>#REF!</v>
          </cell>
        </row>
        <row r="6522">
          <cell r="B6522" t="str">
            <v>PERALATAN</v>
          </cell>
          <cell r="E6522" t="str">
            <v>JML</v>
          </cell>
          <cell r="F6522" t="str">
            <v>Hari</v>
          </cell>
          <cell r="G6522" t="str">
            <v>Kode</v>
          </cell>
          <cell r="H6522" t="str">
            <v>Jam</v>
          </cell>
          <cell r="I6522" t="str">
            <v>Biaya</v>
          </cell>
          <cell r="J6522" t="str">
            <v>Biaya</v>
          </cell>
        </row>
        <row r="6523">
          <cell r="E6523" t="str">
            <v>Alat</v>
          </cell>
          <cell r="F6523" t="str">
            <v>Kerja</v>
          </cell>
          <cell r="H6523" t="str">
            <v>Kerja</v>
          </cell>
          <cell r="I6523" t="str">
            <v>Rp/Jam</v>
          </cell>
          <cell r="J6523" t="str">
            <v>Rp</v>
          </cell>
        </row>
        <row r="6525">
          <cell r="B6525" t="str">
            <v xml:space="preserve">  Truck Bak Terbuka 3,5 t/115 HP</v>
          </cell>
          <cell r="E6525">
            <v>1</v>
          </cell>
          <cell r="F6525">
            <v>3</v>
          </cell>
          <cell r="G6525" t="str">
            <v>E.221</v>
          </cell>
          <cell r="H6525">
            <v>15</v>
          </cell>
          <cell r="I6525">
            <v>142000</v>
          </cell>
          <cell r="J6525">
            <v>2130000</v>
          </cell>
        </row>
        <row r="6526">
          <cell r="B6526" t="str">
            <v xml:space="preserve">  Molen Beton 0.25 m3/10 HP</v>
          </cell>
          <cell r="E6526">
            <v>1</v>
          </cell>
          <cell r="F6526">
            <v>3</v>
          </cell>
          <cell r="G6526" t="str">
            <v>E.252</v>
          </cell>
          <cell r="H6526">
            <v>12</v>
          </cell>
          <cell r="I6526">
            <v>14000</v>
          </cell>
          <cell r="J6526">
            <v>168000</v>
          </cell>
        </row>
        <row r="6527">
          <cell r="B6527" t="str">
            <v xml:space="preserve">  Alat penggetar beton 4 HP</v>
          </cell>
          <cell r="E6527">
            <v>1</v>
          </cell>
          <cell r="F6527">
            <v>3</v>
          </cell>
          <cell r="G6527" t="str">
            <v>E.089</v>
          </cell>
          <cell r="H6527">
            <v>12</v>
          </cell>
          <cell r="I6527">
            <v>15000</v>
          </cell>
          <cell r="J6527">
            <v>180000</v>
          </cell>
        </row>
        <row r="6528">
          <cell r="B6528" t="str">
            <v xml:space="preserve">  Pompa air (0,50 mm) 30 m3/jam</v>
          </cell>
          <cell r="E6528">
            <v>1</v>
          </cell>
          <cell r="F6528">
            <v>3</v>
          </cell>
          <cell r="G6528" t="str">
            <v>E.341</v>
          </cell>
          <cell r="H6528">
            <v>10</v>
          </cell>
          <cell r="I6528">
            <v>9000</v>
          </cell>
          <cell r="J6528">
            <v>90000</v>
          </cell>
        </row>
        <row r="6533">
          <cell r="K6533">
            <v>2568000</v>
          </cell>
        </row>
        <row r="6536">
          <cell r="B6536" t="str">
            <v>VOLUME / QUANTITY :</v>
          </cell>
          <cell r="F6536">
            <v>8</v>
          </cell>
          <cell r="J6536" t="str">
            <v>JUMLAH</v>
          </cell>
          <cell r="K6536" t="e">
            <v>#REF!</v>
          </cell>
        </row>
        <row r="6537">
          <cell r="B6537" t="str">
            <v>SATUAN</v>
          </cell>
          <cell r="F6537" t="str">
            <v>M</v>
          </cell>
        </row>
        <row r="6539">
          <cell r="G6539" t="str">
            <v>HARGA SATUAN :  Rp.</v>
          </cell>
          <cell r="I6539" t="e">
            <v>#REF!</v>
          </cell>
          <cell r="J6539" t="str">
            <v>PER : M</v>
          </cell>
        </row>
        <row r="6546">
          <cell r="K6546" t="str">
            <v>K - 132</v>
          </cell>
        </row>
        <row r="6623">
          <cell r="K6623" t="str">
            <v>K - 139</v>
          </cell>
        </row>
        <row r="6700">
          <cell r="K6700" t="str">
            <v>K - 140</v>
          </cell>
        </row>
        <row r="7008">
          <cell r="K7008" t="str">
            <v>K - 722</v>
          </cell>
        </row>
        <row r="7162">
          <cell r="K7162" t="str">
            <v>K - 726</v>
          </cell>
        </row>
        <row r="7238">
          <cell r="K7238" t="str">
            <v>K - 725</v>
          </cell>
        </row>
      </sheetData>
      <sheetData sheetId="6"/>
      <sheetData sheetId="7">
        <row r="12">
          <cell r="B12" t="str">
            <v xml:space="preserve">G.50.K </v>
          </cell>
        </row>
        <row r="45">
          <cell r="B45" t="str">
            <v>Anl. W4</v>
          </cell>
        </row>
        <row r="60">
          <cell r="B60" t="str">
            <v>Anl. W.2</v>
          </cell>
        </row>
        <row r="68">
          <cell r="B68" t="str">
            <v>Anl. W.3</v>
          </cell>
        </row>
        <row r="198">
          <cell r="B198" t="str">
            <v>G.43.b</v>
          </cell>
        </row>
        <row r="221">
          <cell r="B221" t="str">
            <v>G. 2</v>
          </cell>
        </row>
        <row r="230">
          <cell r="B230" t="str">
            <v>Anl G.67</v>
          </cell>
        </row>
      </sheetData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  <sheetName val="Skdl-NM"/>
      <sheetName val="Sked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37">
          <cell r="G37">
            <v>58920</v>
          </cell>
        </row>
        <row r="38">
          <cell r="G38">
            <v>82020</v>
          </cell>
        </row>
        <row r="45">
          <cell r="G45">
            <v>73230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 refreshError="1">
        <row r="29">
          <cell r="I29">
            <v>2665737635.303215</v>
          </cell>
        </row>
      </sheetData>
      <sheetData sheetId="3" refreshError="1"/>
      <sheetData sheetId="4"/>
      <sheetData sheetId="5"/>
      <sheetData sheetId="6" refreshError="1"/>
      <sheetData sheetId="7" refreshError="1">
        <row r="120">
          <cell r="F120">
            <v>135900</v>
          </cell>
        </row>
        <row r="232">
          <cell r="F232">
            <v>165500</v>
          </cell>
        </row>
        <row r="365">
          <cell r="F365">
            <v>162800</v>
          </cell>
        </row>
        <row r="456">
          <cell r="F456">
            <v>171900</v>
          </cell>
        </row>
        <row r="568">
          <cell r="F568">
            <v>159400</v>
          </cell>
        </row>
        <row r="680">
          <cell r="F680">
            <v>114800</v>
          </cell>
        </row>
      </sheetData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Sheet1"/>
      <sheetName val="TIME SCHEDULE"/>
      <sheetName val="Rekap"/>
      <sheetName val="Peta Quarry"/>
      <sheetName val="BOQ"/>
      <sheetName val="Mobilisasi"/>
      <sheetName val="Perhitungan Mobilisasi Alat"/>
      <sheetName val="Lalu Lintas"/>
      <sheetName val="Jembatan Sementara"/>
      <sheetName val="Informasi"/>
      <sheetName val="Analisa K3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iv2"/>
      <sheetName val="Div3 (2)"/>
      <sheetName val="Div4"/>
      <sheetName val="Div5"/>
      <sheetName val="Div6"/>
      <sheetName val="D6 ASBT"/>
      <sheetName val="Div7(1)"/>
      <sheetName val="Div7(2)"/>
      <sheetName val="Div7(3)"/>
      <sheetName val="Div8(1)"/>
      <sheetName val="Div8(2)"/>
      <sheetName val="Div9"/>
      <sheetName val="D10 LS-Rutin"/>
      <sheetName val="D10 Kuantitas"/>
      <sheetName val="D10 Analisa HSP"/>
      <sheetName val="%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G29">
            <v>46377000</v>
          </cell>
        </row>
        <row r="78">
          <cell r="G78">
            <v>33514889</v>
          </cell>
        </row>
        <row r="289">
          <cell r="G289">
            <v>2069967874.7799096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8">
          <cell r="F8">
            <v>6986.5079365079364</v>
          </cell>
        </row>
        <row r="9">
          <cell r="F9">
            <v>10872.222222222223</v>
          </cell>
        </row>
        <row r="10">
          <cell r="F10">
            <v>11272.222222222223</v>
          </cell>
        </row>
        <row r="50">
          <cell r="F50">
            <v>151117.57874006662</v>
          </cell>
        </row>
        <row r="51">
          <cell r="F51">
            <v>151117.57874006659</v>
          </cell>
        </row>
        <row r="57">
          <cell r="F57">
            <v>8600</v>
          </cell>
        </row>
        <row r="59">
          <cell r="F59">
            <v>6000</v>
          </cell>
        </row>
        <row r="60">
          <cell r="F60">
            <v>57000</v>
          </cell>
        </row>
        <row r="65">
          <cell r="F65">
            <v>94900</v>
          </cell>
        </row>
        <row r="68">
          <cell r="F68">
            <v>16000</v>
          </cell>
        </row>
        <row r="69">
          <cell r="F69">
            <v>750000</v>
          </cell>
        </row>
        <row r="76">
          <cell r="F76">
            <v>155690.44509414484</v>
          </cell>
        </row>
        <row r="77">
          <cell r="F77">
            <v>138140.76948394108</v>
          </cell>
        </row>
        <row r="83">
          <cell r="F83">
            <v>18000</v>
          </cell>
        </row>
        <row r="88">
          <cell r="F88">
            <v>1002765.8575870928</v>
          </cell>
        </row>
        <row r="89">
          <cell r="F89">
            <v>8500</v>
          </cell>
        </row>
        <row r="96">
          <cell r="F96">
            <v>86900</v>
          </cell>
        </row>
        <row r="99">
          <cell r="F99">
            <v>681054.61132673302</v>
          </cell>
        </row>
        <row r="100">
          <cell r="F100">
            <v>11000</v>
          </cell>
        </row>
      </sheetData>
      <sheetData sheetId="14"/>
      <sheetData sheetId="15"/>
      <sheetData sheetId="16">
        <row r="9">
          <cell r="AX9">
            <v>291335.47173059365</v>
          </cell>
        </row>
        <row r="12">
          <cell r="AX12">
            <v>139571.71517792955</v>
          </cell>
        </row>
        <row r="13">
          <cell r="AX13">
            <v>87817.530158730136</v>
          </cell>
        </row>
        <row r="14">
          <cell r="AX14">
            <v>425618.05671942758</v>
          </cell>
        </row>
        <row r="15">
          <cell r="AX15">
            <v>227169.84751319024</v>
          </cell>
        </row>
        <row r="16">
          <cell r="AX16">
            <v>388970.87034246413</v>
          </cell>
        </row>
        <row r="17">
          <cell r="AX17">
            <v>403234.77153982368</v>
          </cell>
        </row>
        <row r="18">
          <cell r="AX18">
            <v>351687.65739345428</v>
          </cell>
        </row>
        <row r="20">
          <cell r="AX20">
            <v>381367.29624048376</v>
          </cell>
        </row>
        <row r="22">
          <cell r="AX22">
            <v>335529.03389015375</v>
          </cell>
        </row>
        <row r="23">
          <cell r="AX23">
            <v>172367.58516286017</v>
          </cell>
        </row>
        <row r="24">
          <cell r="AX24">
            <v>235821.17719124627</v>
          </cell>
        </row>
        <row r="26">
          <cell r="AX26">
            <v>250485.90761785681</v>
          </cell>
        </row>
        <row r="29">
          <cell r="AX29">
            <v>45214.837344746549</v>
          </cell>
        </row>
        <row r="30">
          <cell r="AX30">
            <v>212753.6718395731</v>
          </cell>
        </row>
        <row r="34">
          <cell r="AX34">
            <v>745380.52831645473</v>
          </cell>
        </row>
        <row r="36">
          <cell r="AX36">
            <v>370517.23590620182</v>
          </cell>
        </row>
        <row r="38">
          <cell r="AX38">
            <v>427867.76560764469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Rab"/>
      <sheetName val="OLD-DAFT"/>
      <sheetName val="Up Date BOW"/>
      <sheetName val="Bahan"/>
      <sheetName val="Analisa"/>
      <sheetName val="DURP "/>
      <sheetName val="BOW"/>
      <sheetName val="Guide"/>
      <sheetName val="NEW-DAFT"/>
      <sheetName val="Sampul"/>
    </sheetNames>
    <sheetDataSet>
      <sheetData sheetId="0"/>
      <sheetData sheetId="1"/>
      <sheetData sheetId="2"/>
      <sheetData sheetId="3"/>
      <sheetData sheetId="4"/>
      <sheetData sheetId="5">
        <row r="4">
          <cell r="K4" t="str">
            <v>K - 310</v>
          </cell>
        </row>
        <row r="82">
          <cell r="K82" t="str">
            <v>K - 311</v>
          </cell>
        </row>
        <row r="155">
          <cell r="K155" t="str">
            <v>K - 320</v>
          </cell>
        </row>
        <row r="232">
          <cell r="K232" t="str">
            <v>K - 321</v>
          </cell>
        </row>
        <row r="309">
          <cell r="K309" t="str">
            <v>K - 230</v>
          </cell>
        </row>
        <row r="386">
          <cell r="K386" t="str">
            <v>K - 231</v>
          </cell>
        </row>
        <row r="463">
          <cell r="K463" t="str">
            <v>K - 514</v>
          </cell>
        </row>
        <row r="540">
          <cell r="K540" t="str">
            <v>K - 514.a</v>
          </cell>
        </row>
        <row r="617">
          <cell r="K617" t="str">
            <v>K - 515</v>
          </cell>
        </row>
        <row r="694">
          <cell r="K694" t="str">
            <v>K - 520</v>
          </cell>
        </row>
        <row r="771">
          <cell r="K771" t="str">
            <v>K - 521</v>
          </cell>
        </row>
        <row r="848">
          <cell r="K848" t="str">
            <v>K - 522</v>
          </cell>
        </row>
        <row r="925">
          <cell r="K925" t="str">
            <v>K - 523</v>
          </cell>
        </row>
        <row r="1002">
          <cell r="K1002" t="str">
            <v>K - 618</v>
          </cell>
        </row>
        <row r="1079">
          <cell r="K1079" t="str">
            <v>K - 638</v>
          </cell>
        </row>
        <row r="1104">
          <cell r="J1104">
            <v>36000</v>
          </cell>
        </row>
        <row r="1156">
          <cell r="K1156" t="str">
            <v>K - 224</v>
          </cell>
        </row>
        <row r="1233">
          <cell r="K1233" t="str">
            <v>K - 224a</v>
          </cell>
        </row>
        <row r="1310">
          <cell r="K1310" t="str">
            <v>K - 720</v>
          </cell>
        </row>
        <row r="1387">
          <cell r="K1387" t="str">
            <v>K - 810</v>
          </cell>
        </row>
        <row r="1464">
          <cell r="K1464" t="str">
            <v>K - 815</v>
          </cell>
        </row>
        <row r="1541">
          <cell r="K1541" t="str">
            <v>K - 855</v>
          </cell>
        </row>
        <row r="1695">
          <cell r="K1695" t="str">
            <v>K - 865</v>
          </cell>
        </row>
        <row r="1772">
          <cell r="K1772" t="str">
            <v>K - 211</v>
          </cell>
        </row>
        <row r="1849">
          <cell r="K1849" t="str">
            <v>K - 225</v>
          </cell>
        </row>
        <row r="1926">
          <cell r="K1926" t="str">
            <v>K - 705</v>
          </cell>
        </row>
        <row r="2003">
          <cell r="K2003" t="str">
            <v>K - 710</v>
          </cell>
        </row>
        <row r="2078">
          <cell r="B2078" t="str">
            <v>DIREKTORAT JENDRAL BINA MARGA</v>
          </cell>
          <cell r="F2078" t="str">
            <v>ANALISA BIAYA PEKERJAAN</v>
          </cell>
        </row>
        <row r="2079">
          <cell r="B2079" t="str">
            <v>DIREKTORAT BINA PROGRAM JALAN</v>
          </cell>
          <cell r="F2079" t="str">
            <v>PENULANGAN BETON (MEMOTONG, MEMBENGKOK &amp; MEMASANG BESI TULANGAN (MENGGUNAKAN BURUH)</v>
          </cell>
          <cell r="K2079" t="str">
            <v>KODE</v>
          </cell>
        </row>
        <row r="2080">
          <cell r="B2080" t="str">
            <v>SUB DIT. PERENCANAAN JALAN</v>
          </cell>
          <cell r="K2080" t="str">
            <v>K - 715</v>
          </cell>
        </row>
        <row r="2081">
          <cell r="B2081" t="str">
            <v>LOKAL &amp; KABUPATEN</v>
          </cell>
        </row>
        <row r="2083">
          <cell r="B2083" t="str">
            <v xml:space="preserve">  Propinsi :</v>
          </cell>
          <cell r="E2083" t="str">
            <v>Kode :</v>
          </cell>
          <cell r="F2083" t="str">
            <v xml:space="preserve">  Kabupaten</v>
          </cell>
          <cell r="H2083" t="str">
            <v>Kode</v>
          </cell>
          <cell r="I2083" t="str">
            <v xml:space="preserve">Dipersiapkan    : </v>
          </cell>
        </row>
        <row r="2084">
          <cell r="B2084" t="str">
            <v xml:space="preserve">  Nanggroe Aceh Darussalam</v>
          </cell>
          <cell r="E2084">
            <v>11</v>
          </cell>
          <cell r="F2084" t="str">
            <v xml:space="preserve">  PIDIE</v>
          </cell>
          <cell r="H2084">
            <v>7</v>
          </cell>
          <cell r="I2084" t="str">
            <v xml:space="preserve">Tanggal            : </v>
          </cell>
        </row>
        <row r="2086">
          <cell r="B2086" t="str">
            <v xml:space="preserve">  Uraian :</v>
          </cell>
          <cell r="F2086" t="str">
            <v xml:space="preserve">  Anggapan/Asumsi :</v>
          </cell>
        </row>
        <row r="2088">
          <cell r="B2088" t="str">
            <v xml:space="preserve">  1. Batang Besi dipotong sesuai ukuran yang</v>
          </cell>
          <cell r="F2088" t="str">
            <v xml:space="preserve">  1. 200 Kg Baja disiapkan dalam satu hari</v>
          </cell>
        </row>
        <row r="2089">
          <cell r="B2089" t="str">
            <v xml:space="preserve">      diperlukan </v>
          </cell>
          <cell r="F2089" t="str">
            <v xml:space="preserve">  2. Besi Tulangan dikirim ketempat pekerjaan oleh pemasok </v>
          </cell>
        </row>
        <row r="2090">
          <cell r="B2090" t="str">
            <v xml:space="preserve">  2. Batang dan Begel Besi Beton dibengkok</v>
          </cell>
          <cell r="F2090" t="str">
            <v xml:space="preserve">  3. Penyusutan akibat pemotongan 10 % dan pakai Kawat Baja  dll</v>
          </cell>
        </row>
        <row r="2091">
          <cell r="B2091" t="str">
            <v xml:space="preserve">      kan sesuai yang diperlukan</v>
          </cell>
          <cell r="F2091" t="str">
            <v xml:space="preserve">      dianggap 1 %</v>
          </cell>
        </row>
        <row r="2092">
          <cell r="B2092" t="str">
            <v xml:space="preserve">  3. Perakitan Tulangan Besi Beton dan diikat</v>
          </cell>
          <cell r="F2092" t="str">
            <v xml:space="preserve">  4. Membengkok dan memasang Batang Besi Beton dilaksanakan </v>
          </cell>
        </row>
        <row r="2093">
          <cell r="B2093" t="str">
            <v xml:space="preserve">      dengan Kawat Baja</v>
          </cell>
          <cell r="F2093" t="str">
            <v xml:space="preserve">      dengan tangan</v>
          </cell>
        </row>
        <row r="2094">
          <cell r="F2094" t="str">
            <v xml:space="preserve">  5. Panjang &amp; Diameter Besi Tulangan yang biasa dipakai gorong-gorong dll</v>
          </cell>
        </row>
        <row r="2095">
          <cell r="F2095" t="str">
            <v xml:space="preserve">  6. 0,8 orang hari memotong 200 Kg Batang Besi Beton</v>
          </cell>
        </row>
        <row r="2096">
          <cell r="F2096" t="str">
            <v xml:space="preserve">  7. 1,0 orang hari membengkok 200 Kg Batang Besi Beton</v>
          </cell>
        </row>
        <row r="2097">
          <cell r="F2097" t="str">
            <v xml:space="preserve">  8. 1,2 orang hari memasang dan mengikat 200 Kg Tulangan Besi</v>
          </cell>
        </row>
        <row r="2098">
          <cell r="F2098" t="str">
            <v xml:space="preserve">  9. Umur alat bantu rata-rata 1 bulan/orang set @ 3 alat</v>
          </cell>
        </row>
        <row r="2100">
          <cell r="F2100">
            <v>0</v>
          </cell>
        </row>
        <row r="2102">
          <cell r="B2102" t="str">
            <v>PEKERJA</v>
          </cell>
          <cell r="E2102" t="str">
            <v>JML</v>
          </cell>
          <cell r="F2102" t="str">
            <v>Hari</v>
          </cell>
          <cell r="G2102" t="str">
            <v>Kode</v>
          </cell>
          <cell r="H2102" t="str">
            <v>Jumlah</v>
          </cell>
          <cell r="I2102" t="str">
            <v>Upah</v>
          </cell>
          <cell r="J2102" t="str">
            <v>Biaya</v>
          </cell>
          <cell r="K2102" t="str">
            <v>Sub Jumlah</v>
          </cell>
        </row>
        <row r="2103">
          <cell r="E2103" t="str">
            <v>Org</v>
          </cell>
          <cell r="H2103" t="str">
            <v>Hr/Org</v>
          </cell>
          <cell r="I2103" t="str">
            <v>Rp./Hr/Org</v>
          </cell>
          <cell r="J2103" t="str">
            <v>Rp</v>
          </cell>
          <cell r="K2103" t="str">
            <v>Rp</v>
          </cell>
        </row>
        <row r="2106">
          <cell r="B2106" t="str">
            <v xml:space="preserve">  Mandor Lapangan</v>
          </cell>
          <cell r="E2106">
            <v>1</v>
          </cell>
          <cell r="F2106">
            <v>1</v>
          </cell>
          <cell r="G2106" t="str">
            <v>L.061</v>
          </cell>
          <cell r="H2106">
            <v>1</v>
          </cell>
          <cell r="I2106">
            <v>36000</v>
          </cell>
          <cell r="J2106">
            <v>36000</v>
          </cell>
        </row>
        <row r="2107">
          <cell r="B2107" t="str">
            <v xml:space="preserve">  Tukang Kepala</v>
          </cell>
          <cell r="E2107">
            <v>1</v>
          </cell>
          <cell r="F2107">
            <v>1</v>
          </cell>
          <cell r="G2107" t="str">
            <v>L.073</v>
          </cell>
          <cell r="H2107">
            <v>1</v>
          </cell>
          <cell r="I2107">
            <v>40000</v>
          </cell>
          <cell r="J2107">
            <v>40000</v>
          </cell>
        </row>
        <row r="2108">
          <cell r="B2108" t="str">
            <v xml:space="preserve">  Buruh Agak Terampil</v>
          </cell>
          <cell r="E2108">
            <v>2</v>
          </cell>
          <cell r="F2108">
            <v>1</v>
          </cell>
          <cell r="G2108" t="str">
            <v>L.103</v>
          </cell>
          <cell r="H2108">
            <v>2</v>
          </cell>
          <cell r="I2108">
            <v>30000</v>
          </cell>
          <cell r="J2108">
            <v>60000</v>
          </cell>
        </row>
        <row r="2109">
          <cell r="B2109" t="str">
            <v xml:space="preserve">  Buruh Tak Terampil</v>
          </cell>
          <cell r="E2109">
            <v>1</v>
          </cell>
          <cell r="F2109">
            <v>1</v>
          </cell>
          <cell r="G2109" t="str">
            <v>L.101</v>
          </cell>
          <cell r="H2109">
            <v>1</v>
          </cell>
          <cell r="I2109">
            <v>30000</v>
          </cell>
          <cell r="J2109">
            <v>30000</v>
          </cell>
        </row>
        <row r="2114">
          <cell r="K2114">
            <v>166000</v>
          </cell>
        </row>
        <row r="2115">
          <cell r="I2115">
            <v>0</v>
          </cell>
        </row>
        <row r="2117">
          <cell r="B2117" t="str">
            <v>MATERIAL</v>
          </cell>
          <cell r="E2117" t="str">
            <v>Jumlah</v>
          </cell>
          <cell r="F2117" t="str">
            <v>Volume</v>
          </cell>
          <cell r="G2117" t="str">
            <v>Kode</v>
          </cell>
          <cell r="I2117" t="str">
            <v>Harga Satuan</v>
          </cell>
          <cell r="J2117" t="str">
            <v>Biaya</v>
          </cell>
        </row>
        <row r="2118">
          <cell r="F2118" t="str">
            <v>Satuan</v>
          </cell>
          <cell r="I2118" t="str">
            <v>Rp</v>
          </cell>
          <cell r="J2118" t="str">
            <v>Rp</v>
          </cell>
        </row>
        <row r="2120">
          <cell r="B2120" t="str">
            <v xml:space="preserve">  Tulangan Besi Beton</v>
          </cell>
          <cell r="E2120">
            <v>225</v>
          </cell>
          <cell r="F2120" t="str">
            <v>Kg</v>
          </cell>
          <cell r="G2120" t="str">
            <v>M.167</v>
          </cell>
          <cell r="I2120">
            <v>5500</v>
          </cell>
          <cell r="J2120">
            <v>1237500</v>
          </cell>
        </row>
        <row r="2121">
          <cell r="B2121" t="str">
            <v xml:space="preserve">  Alat Bantu</v>
          </cell>
          <cell r="E2121">
            <v>0.2</v>
          </cell>
          <cell r="F2121" t="str">
            <v>Set</v>
          </cell>
          <cell r="G2121" t="str">
            <v>M.170</v>
          </cell>
          <cell r="I2121">
            <v>40000</v>
          </cell>
          <cell r="J2121">
            <v>8000</v>
          </cell>
        </row>
        <row r="2130">
          <cell r="K2130">
            <v>1245500</v>
          </cell>
        </row>
        <row r="2133">
          <cell r="B2133" t="str">
            <v>PERALATAN</v>
          </cell>
          <cell r="E2133" t="str">
            <v>JML</v>
          </cell>
          <cell r="F2133" t="str">
            <v>Hari</v>
          </cell>
          <cell r="G2133" t="str">
            <v>Kode</v>
          </cell>
          <cell r="H2133" t="str">
            <v>Jam</v>
          </cell>
          <cell r="I2133" t="str">
            <v>Biaya</v>
          </cell>
          <cell r="J2133" t="str">
            <v>Biaya</v>
          </cell>
        </row>
        <row r="2134">
          <cell r="E2134" t="str">
            <v>Alat</v>
          </cell>
          <cell r="F2134" t="str">
            <v>Kerja</v>
          </cell>
          <cell r="H2134" t="str">
            <v>Kerja</v>
          </cell>
          <cell r="I2134" t="str">
            <v>Rp/Jam</v>
          </cell>
          <cell r="J2134" t="str">
            <v>Rp</v>
          </cell>
        </row>
        <row r="2147">
          <cell r="B2147" t="str">
            <v>VOLUME / QUANTITY :</v>
          </cell>
          <cell r="F2147">
            <v>200</v>
          </cell>
          <cell r="J2147" t="str">
            <v>JUMLAH</v>
          </cell>
          <cell r="K2147">
            <v>1411500</v>
          </cell>
        </row>
        <row r="2148">
          <cell r="B2148" t="str">
            <v>SATUAN</v>
          </cell>
          <cell r="F2148" t="str">
            <v>Kg</v>
          </cell>
        </row>
        <row r="2150">
          <cell r="G2150" t="str">
            <v>HARGA SATUAN :  Rp.</v>
          </cell>
          <cell r="I2150">
            <v>7057.5</v>
          </cell>
          <cell r="J2150" t="str">
            <v>PER : Kg</v>
          </cell>
        </row>
        <row r="2157">
          <cell r="K2157" t="str">
            <v>K - 612</v>
          </cell>
        </row>
        <row r="2234">
          <cell r="K2234" t="str">
            <v>K - 612'</v>
          </cell>
        </row>
        <row r="2388">
          <cell r="K2388" t="str">
            <v>K - 513</v>
          </cell>
        </row>
        <row r="2542">
          <cell r="K2542" t="str">
            <v>K - 516</v>
          </cell>
        </row>
        <row r="2619">
          <cell r="K2619" t="str">
            <v>K - 421</v>
          </cell>
        </row>
        <row r="2696">
          <cell r="K2696" t="str">
            <v>K - 422</v>
          </cell>
        </row>
        <row r="2773">
          <cell r="K2773" t="str">
            <v>K - 424</v>
          </cell>
        </row>
        <row r="2850">
          <cell r="K2850" t="str">
            <v>K - 511</v>
          </cell>
        </row>
        <row r="2927">
          <cell r="K2927" t="str">
            <v>K - 512</v>
          </cell>
        </row>
        <row r="3004">
          <cell r="K3004" t="str">
            <v>K - 510</v>
          </cell>
        </row>
        <row r="3158">
          <cell r="K3158" t="str">
            <v>K - 125</v>
          </cell>
        </row>
        <row r="3235">
          <cell r="K3235" t="str">
            <v>K - 124</v>
          </cell>
        </row>
        <row r="3312">
          <cell r="K3312" t="str">
            <v>K - 123</v>
          </cell>
        </row>
        <row r="3389">
          <cell r="K3389" t="str">
            <v>K - 122</v>
          </cell>
        </row>
        <row r="3466">
          <cell r="K3466" t="str">
            <v>K - 158</v>
          </cell>
        </row>
        <row r="3543">
          <cell r="K3543" t="str">
            <v>K - 210</v>
          </cell>
        </row>
        <row r="3620">
          <cell r="K3620" t="str">
            <v>K - 220</v>
          </cell>
        </row>
        <row r="3697">
          <cell r="K3697" t="str">
            <v>K - 221</v>
          </cell>
        </row>
        <row r="3774">
          <cell r="K3774" t="str">
            <v>K - 010</v>
          </cell>
        </row>
        <row r="3851">
          <cell r="K3851" t="str">
            <v>K - 011</v>
          </cell>
        </row>
        <row r="3928">
          <cell r="K3928" t="str">
            <v>K - 012</v>
          </cell>
        </row>
        <row r="4005">
          <cell r="K4005" t="str">
            <v>K - 013</v>
          </cell>
        </row>
        <row r="4082">
          <cell r="K4082" t="str">
            <v>K - 014</v>
          </cell>
        </row>
        <row r="4159">
          <cell r="K4159" t="str">
            <v>K - 016</v>
          </cell>
        </row>
        <row r="4236">
          <cell r="K4236" t="str">
            <v>K - 017</v>
          </cell>
        </row>
        <row r="4313">
          <cell r="K4313" t="str">
            <v>K - 018</v>
          </cell>
        </row>
        <row r="4390">
          <cell r="K4390" t="str">
            <v>K - 020</v>
          </cell>
        </row>
        <row r="4467">
          <cell r="K4467" t="str">
            <v>K - 023</v>
          </cell>
        </row>
        <row r="4544">
          <cell r="K4544" t="str">
            <v>K - 024</v>
          </cell>
        </row>
        <row r="4621">
          <cell r="K4621" t="str">
            <v>K - 025</v>
          </cell>
        </row>
        <row r="4698">
          <cell r="K4698" t="str">
            <v>K - 026</v>
          </cell>
        </row>
        <row r="4775">
          <cell r="K4775" t="str">
            <v>K - 030</v>
          </cell>
        </row>
        <row r="4852">
          <cell r="K4852" t="str">
            <v>K - 035</v>
          </cell>
        </row>
        <row r="4929">
          <cell r="K4929" t="str">
            <v>K - 040</v>
          </cell>
        </row>
        <row r="5006">
          <cell r="K5006" t="str">
            <v>K - 110</v>
          </cell>
        </row>
        <row r="5083">
          <cell r="K5083" t="str">
            <v>K - 111</v>
          </cell>
        </row>
        <row r="5160">
          <cell r="K5160" t="str">
            <v>K - 112</v>
          </cell>
        </row>
        <row r="5237">
          <cell r="K5237" t="str">
            <v>K - 113</v>
          </cell>
        </row>
        <row r="5314">
          <cell r="K5314" t="str">
            <v>K - 114</v>
          </cell>
        </row>
        <row r="5391">
          <cell r="K5391" t="str">
            <v>K - 115</v>
          </cell>
        </row>
        <row r="5468">
          <cell r="K5468" t="str">
            <v>K - 116</v>
          </cell>
        </row>
        <row r="5545">
          <cell r="K5545" t="str">
            <v>K - 117</v>
          </cell>
        </row>
        <row r="5622">
          <cell r="K5622" t="str">
            <v>K - 118</v>
          </cell>
        </row>
        <row r="5699">
          <cell r="K5699" t="str">
            <v>K - 121</v>
          </cell>
        </row>
        <row r="5776">
          <cell r="K5776" t="str">
            <v>K - 411</v>
          </cell>
        </row>
        <row r="5853">
          <cell r="K5853" t="str">
            <v>K - 341</v>
          </cell>
        </row>
        <row r="5930">
          <cell r="K5930" t="str">
            <v>K - 342</v>
          </cell>
        </row>
        <row r="6007">
          <cell r="K6007" t="str">
            <v>K - 410</v>
          </cell>
        </row>
        <row r="6084">
          <cell r="K6084" t="str">
            <v>K - 232</v>
          </cell>
        </row>
        <row r="6161">
          <cell r="K6161" t="str">
            <v>K - 233</v>
          </cell>
        </row>
        <row r="6467">
          <cell r="B6467" t="str">
            <v>DIREKTORAT JENDRAL BINA MARGA</v>
          </cell>
          <cell r="F6467" t="str">
            <v xml:space="preserve">ANALISA  BIAYA  PEKERJAAN </v>
          </cell>
        </row>
        <row r="6468">
          <cell r="B6468" t="str">
            <v>DIREKTORAT BINA PROGRAM JALAN</v>
          </cell>
          <cell r="F6468" t="str">
            <v>GORONG-GORONG KOTAK (  1.5 M X 1.5 M x 8 M ) BETON BERTULANG TIDAK TERMASUK DINDING KEPALA (MENGUNAKAN BURUH)</v>
          </cell>
          <cell r="K6468" t="str">
            <v>KODE</v>
          </cell>
        </row>
        <row r="6469">
          <cell r="B6469" t="str">
            <v>SUB DIT. PERENCANAAN JALAN</v>
          </cell>
          <cell r="K6469" t="str">
            <v>K - 131</v>
          </cell>
        </row>
        <row r="6470">
          <cell r="B6470" t="str">
            <v>LOKAL &amp; KABUPATEN</v>
          </cell>
        </row>
        <row r="6472">
          <cell r="B6472" t="str">
            <v xml:space="preserve">  Propinsi :</v>
          </cell>
          <cell r="E6472" t="str">
            <v>Kode :</v>
          </cell>
          <cell r="F6472" t="str">
            <v xml:space="preserve">  Kabupaten</v>
          </cell>
          <cell r="H6472" t="str">
            <v>Kode</v>
          </cell>
          <cell r="I6472" t="str">
            <v xml:space="preserve">Dipersiapkan    : </v>
          </cell>
        </row>
        <row r="6473">
          <cell r="B6473" t="str">
            <v xml:space="preserve">  Nanggroe Aceh Darussalam</v>
          </cell>
          <cell r="E6473">
            <v>11</v>
          </cell>
          <cell r="F6473" t="str">
            <v xml:space="preserve">  PIDIE</v>
          </cell>
          <cell r="H6473">
            <v>7</v>
          </cell>
          <cell r="I6473" t="str">
            <v xml:space="preserve">Tanggal            : </v>
          </cell>
        </row>
        <row r="6475">
          <cell r="B6475" t="str">
            <v xml:space="preserve">  Uraian :</v>
          </cell>
          <cell r="F6475" t="str">
            <v xml:space="preserve">  Anggapan/Asumsi :</v>
          </cell>
        </row>
        <row r="6477">
          <cell r="B6477" t="str">
            <v xml:space="preserve">  1.  Gali dengan tenaga manusia (50 m3)</v>
          </cell>
          <cell r="F6477" t="str">
            <v xml:space="preserve">  1. H x S x tw = 1,5 m x 1,5 m x 21 cm</v>
          </cell>
        </row>
        <row r="6478">
          <cell r="B6478" t="str">
            <v xml:space="preserve">  2.  Padatkan daerah dasar 20 cm2</v>
          </cell>
          <cell r="F6478" t="str">
            <v xml:space="preserve">  2. Pengiriman material sampai ke tempat pekerjaan</v>
          </cell>
        </row>
        <row r="6479">
          <cell r="B6479" t="str">
            <v xml:space="preserve">  3.  Cor lantai dasar beton (0.8 m3)</v>
          </cell>
          <cell r="F6479" t="str">
            <v xml:space="preserve">  3. Buang galian sejauh 1 km</v>
          </cell>
        </row>
        <row r="6480">
          <cell r="B6480" t="str">
            <v xml:space="preserve">  4.  Buat begisting (67 m2)</v>
          </cell>
          <cell r="F6480" t="str">
            <v xml:space="preserve">  4. Lantai dasar beton klas C tebal 5 cm</v>
          </cell>
        </row>
        <row r="6481">
          <cell r="B6481" t="str">
            <v xml:space="preserve">  5.  Pasang pembesian (1075 kg)</v>
          </cell>
          <cell r="F6481" t="str">
            <v xml:space="preserve">  5. Sepertiga bekas begisting, dapat dipakai lagi</v>
          </cell>
        </row>
        <row r="6482">
          <cell r="B6482" t="str">
            <v xml:space="preserve">  6.  Cor beton struktur (11,7 m3)</v>
          </cell>
          <cell r="F6482" t="str">
            <v xml:space="preserve">  6. Pembesian 134,5 kg/m dengan kapasitas 100 kg/orang-hari</v>
          </cell>
        </row>
        <row r="6483">
          <cell r="B6483" t="str">
            <v xml:space="preserve">  7.  Bongkar begisting timbun dengan urugan yang</v>
          </cell>
          <cell r="F6483" t="str">
            <v xml:space="preserve">  7. Cor beton struktur klas A dalam 2 tahap</v>
          </cell>
        </row>
        <row r="6484">
          <cell r="B6484" t="str">
            <v xml:space="preserve">       baik dan padatkan 9 m3</v>
          </cell>
          <cell r="F6484" t="str">
            <v xml:space="preserve">  8. Tidak termasuk dinding kepala</v>
          </cell>
        </row>
        <row r="6485">
          <cell r="F6485" t="str">
            <v xml:space="preserve">  9. Upah tukang dimasukkan dalam biaya produksi</v>
          </cell>
        </row>
        <row r="6490">
          <cell r="B6490" t="str">
            <v>PEKERJA</v>
          </cell>
          <cell r="E6490" t="str">
            <v>JML</v>
          </cell>
          <cell r="F6490" t="str">
            <v>Hari</v>
          </cell>
          <cell r="G6490" t="str">
            <v>Kode</v>
          </cell>
          <cell r="H6490" t="str">
            <v>Jumlah</v>
          </cell>
          <cell r="I6490" t="str">
            <v>Upah</v>
          </cell>
          <cell r="J6490" t="str">
            <v>Biaya</v>
          </cell>
          <cell r="K6490" t="str">
            <v>Sub Jumlah</v>
          </cell>
        </row>
        <row r="6491">
          <cell r="E6491" t="str">
            <v>Org</v>
          </cell>
          <cell r="H6491" t="str">
            <v>Hr/Org</v>
          </cell>
          <cell r="I6491" t="str">
            <v>Rp./Hr/Org</v>
          </cell>
          <cell r="J6491" t="str">
            <v>Rp</v>
          </cell>
          <cell r="K6491" t="str">
            <v>Rp</v>
          </cell>
        </row>
        <row r="6494">
          <cell r="B6494" t="str">
            <v xml:space="preserve">  Mandor </v>
          </cell>
          <cell r="E6494">
            <v>2</v>
          </cell>
          <cell r="F6494">
            <v>6</v>
          </cell>
          <cell r="G6494" t="str">
            <v>L.061</v>
          </cell>
          <cell r="H6494">
            <v>12</v>
          </cell>
          <cell r="I6494">
            <v>36000</v>
          </cell>
          <cell r="J6494">
            <v>432000</v>
          </cell>
        </row>
        <row r="6495">
          <cell r="B6495" t="str">
            <v xml:space="preserve">  Supir </v>
          </cell>
          <cell r="E6495">
            <v>1</v>
          </cell>
          <cell r="F6495">
            <v>3</v>
          </cell>
          <cell r="G6495" t="str">
            <v>L.091</v>
          </cell>
          <cell r="H6495">
            <v>3</v>
          </cell>
          <cell r="I6495">
            <v>35000</v>
          </cell>
          <cell r="J6495">
            <v>105000</v>
          </cell>
        </row>
        <row r="6496">
          <cell r="B6496" t="str">
            <v xml:space="preserve">  Buruh tak terlatih</v>
          </cell>
          <cell r="E6496">
            <v>8</v>
          </cell>
          <cell r="F6496">
            <v>6</v>
          </cell>
          <cell r="G6496" t="str">
            <v>L.101</v>
          </cell>
          <cell r="H6496">
            <v>48</v>
          </cell>
          <cell r="I6496">
            <v>30000</v>
          </cell>
          <cell r="J6496">
            <v>1440000</v>
          </cell>
        </row>
        <row r="6497">
          <cell r="B6497" t="str">
            <v xml:space="preserve">  Buruh  terlatih</v>
          </cell>
          <cell r="E6497">
            <v>2</v>
          </cell>
          <cell r="F6497">
            <v>6</v>
          </cell>
          <cell r="G6497" t="str">
            <v>L.106</v>
          </cell>
          <cell r="H6497">
            <v>12</v>
          </cell>
          <cell r="I6497">
            <v>35000</v>
          </cell>
          <cell r="J6497">
            <v>420000</v>
          </cell>
        </row>
        <row r="6498">
          <cell r="B6498" t="str">
            <v xml:space="preserve">  Tukang batu</v>
          </cell>
          <cell r="E6498">
            <v>1</v>
          </cell>
          <cell r="F6498">
            <v>6</v>
          </cell>
          <cell r="G6498" t="str">
            <v>BOW</v>
          </cell>
          <cell r="H6498">
            <v>6</v>
          </cell>
          <cell r="I6498">
            <v>36000</v>
          </cell>
          <cell r="J6498">
            <v>216000</v>
          </cell>
        </row>
        <row r="6503">
          <cell r="K6503">
            <v>2613000</v>
          </cell>
        </row>
        <row r="6506">
          <cell r="B6506" t="str">
            <v>MATERIAL</v>
          </cell>
          <cell r="E6506" t="str">
            <v>Jumlah</v>
          </cell>
          <cell r="F6506" t="str">
            <v>Volume</v>
          </cell>
          <cell r="G6506" t="str">
            <v>Kode</v>
          </cell>
          <cell r="I6506" t="str">
            <v>Harga Satuan</v>
          </cell>
          <cell r="J6506" t="str">
            <v>Biaya</v>
          </cell>
        </row>
        <row r="6507">
          <cell r="F6507" t="str">
            <v>Satuan</v>
          </cell>
          <cell r="I6507" t="str">
            <v>Rp</v>
          </cell>
          <cell r="J6507" t="str">
            <v>Rp</v>
          </cell>
        </row>
        <row r="6509">
          <cell r="B6509" t="str">
            <v xml:space="preserve">  Alat bantu  </v>
          </cell>
          <cell r="E6509">
            <v>1.2</v>
          </cell>
          <cell r="F6509" t="str">
            <v>Set</v>
          </cell>
          <cell r="G6509" t="str">
            <v>M.170</v>
          </cell>
          <cell r="I6509">
            <v>40000</v>
          </cell>
          <cell r="J6509">
            <v>48000</v>
          </cell>
        </row>
        <row r="6510">
          <cell r="B6510" t="str">
            <v xml:space="preserve">  Pembesian</v>
          </cell>
          <cell r="E6510">
            <v>1075</v>
          </cell>
          <cell r="F6510" t="str">
            <v>kg</v>
          </cell>
          <cell r="G6510" t="str">
            <v>K.175</v>
          </cell>
          <cell r="I6510">
            <v>7057.5</v>
          </cell>
          <cell r="J6510">
            <v>7586812.5</v>
          </cell>
        </row>
        <row r="6511">
          <cell r="B6511" t="str">
            <v xml:space="preserve">  Begisting</v>
          </cell>
          <cell r="E6511">
            <v>67</v>
          </cell>
          <cell r="F6511" t="str">
            <v>m2</v>
          </cell>
          <cell r="G6511" t="str">
            <v>K.710</v>
          </cell>
          <cell r="I6511">
            <v>66470</v>
          </cell>
          <cell r="J6511">
            <v>4453490</v>
          </cell>
        </row>
        <row r="6512">
          <cell r="B6512" t="str">
            <v xml:space="preserve">  Timbunan konstruksi</v>
          </cell>
          <cell r="E6512">
            <v>20</v>
          </cell>
          <cell r="F6512" t="str">
            <v>m3</v>
          </cell>
          <cell r="G6512" t="str">
            <v>K.225</v>
          </cell>
          <cell r="I6512">
            <v>90033.333333333328</v>
          </cell>
          <cell r="J6512">
            <v>1800666.6666666665</v>
          </cell>
        </row>
        <row r="6513">
          <cell r="B6513" t="str">
            <v xml:space="preserve">  Batu pecah 1-2 cm</v>
          </cell>
          <cell r="E6513">
            <v>8.5</v>
          </cell>
          <cell r="F6513" t="str">
            <v>m3</v>
          </cell>
          <cell r="G6513" t="str">
            <v>M.025</v>
          </cell>
          <cell r="I6513" t="e">
            <v>#REF!</v>
          </cell>
          <cell r="J6513" t="e">
            <v>#REF!</v>
          </cell>
        </row>
        <row r="6514">
          <cell r="B6514" t="str">
            <v xml:space="preserve">  Pasir beton</v>
          </cell>
          <cell r="E6514">
            <v>6.7</v>
          </cell>
          <cell r="F6514" t="str">
            <v>m3</v>
          </cell>
          <cell r="G6514" t="str">
            <v>M.041</v>
          </cell>
          <cell r="I6514">
            <v>68000</v>
          </cell>
          <cell r="J6514">
            <v>455600</v>
          </cell>
        </row>
        <row r="6515">
          <cell r="B6515" t="str">
            <v xml:space="preserve">  Semen</v>
          </cell>
          <cell r="E6515">
            <v>96.2</v>
          </cell>
          <cell r="F6515" t="str">
            <v>zak</v>
          </cell>
          <cell r="G6515" t="str">
            <v>M.080</v>
          </cell>
          <cell r="I6515">
            <v>26500</v>
          </cell>
          <cell r="J6515">
            <v>2549300</v>
          </cell>
        </row>
        <row r="6516">
          <cell r="B6516" t="str">
            <v xml:space="preserve">  Kerikil Kali disaring</v>
          </cell>
          <cell r="E6516">
            <v>1</v>
          </cell>
          <cell r="F6516" t="str">
            <v>m3</v>
          </cell>
          <cell r="G6516" t="str">
            <v>M.016</v>
          </cell>
          <cell r="I6516">
            <v>117100</v>
          </cell>
          <cell r="J6516">
            <v>117100</v>
          </cell>
        </row>
        <row r="6519">
          <cell r="K6519" t="e">
            <v>#REF!</v>
          </cell>
        </row>
        <row r="6522">
          <cell r="B6522" t="str">
            <v>PERALATAN</v>
          </cell>
          <cell r="E6522" t="str">
            <v>JML</v>
          </cell>
          <cell r="F6522" t="str">
            <v>Hari</v>
          </cell>
          <cell r="G6522" t="str">
            <v>Kode</v>
          </cell>
          <cell r="H6522" t="str">
            <v>Jam</v>
          </cell>
          <cell r="I6522" t="str">
            <v>Biaya</v>
          </cell>
          <cell r="J6522" t="str">
            <v>Biaya</v>
          </cell>
        </row>
        <row r="6523">
          <cell r="E6523" t="str">
            <v>Alat</v>
          </cell>
          <cell r="F6523" t="str">
            <v>Kerja</v>
          </cell>
          <cell r="H6523" t="str">
            <v>Kerja</v>
          </cell>
          <cell r="I6523" t="str">
            <v>Rp/Jam</v>
          </cell>
          <cell r="J6523" t="str">
            <v>Rp</v>
          </cell>
        </row>
        <row r="6525">
          <cell r="B6525" t="str">
            <v xml:space="preserve">  Truck Bak Terbuka 3,5 t/115 HP</v>
          </cell>
          <cell r="E6525">
            <v>1</v>
          </cell>
          <cell r="F6525">
            <v>3</v>
          </cell>
          <cell r="G6525" t="str">
            <v>E.221</v>
          </cell>
          <cell r="H6525">
            <v>15</v>
          </cell>
          <cell r="I6525">
            <v>142000</v>
          </cell>
          <cell r="J6525">
            <v>2130000</v>
          </cell>
        </row>
        <row r="6526">
          <cell r="B6526" t="str">
            <v xml:space="preserve">  Molen Beton 0.25 m3/10 HP</v>
          </cell>
          <cell r="E6526">
            <v>1</v>
          </cell>
          <cell r="F6526">
            <v>3</v>
          </cell>
          <cell r="G6526" t="str">
            <v>E.252</v>
          </cell>
          <cell r="H6526">
            <v>12</v>
          </cell>
          <cell r="I6526">
            <v>14000</v>
          </cell>
          <cell r="J6526">
            <v>168000</v>
          </cell>
        </row>
        <row r="6527">
          <cell r="B6527" t="str">
            <v xml:space="preserve">  Alat penggetar beton 4 HP</v>
          </cell>
          <cell r="E6527">
            <v>1</v>
          </cell>
          <cell r="F6527">
            <v>3</v>
          </cell>
          <cell r="G6527" t="str">
            <v>E.089</v>
          </cell>
          <cell r="H6527">
            <v>12</v>
          </cell>
          <cell r="I6527">
            <v>15000</v>
          </cell>
          <cell r="J6527">
            <v>180000</v>
          </cell>
        </row>
        <row r="6528">
          <cell r="B6528" t="str">
            <v xml:space="preserve">  Pompa air (0,50 mm) 30 m3/jam</v>
          </cell>
          <cell r="E6528">
            <v>1</v>
          </cell>
          <cell r="F6528">
            <v>3</v>
          </cell>
          <cell r="G6528" t="str">
            <v>E.341</v>
          </cell>
          <cell r="H6528">
            <v>10</v>
          </cell>
          <cell r="I6528">
            <v>9000</v>
          </cell>
          <cell r="J6528">
            <v>90000</v>
          </cell>
        </row>
        <row r="6533">
          <cell r="K6533">
            <v>2568000</v>
          </cell>
        </row>
        <row r="6536">
          <cell r="B6536" t="str">
            <v>VOLUME / QUANTITY :</v>
          </cell>
          <cell r="F6536">
            <v>8</v>
          </cell>
          <cell r="J6536" t="str">
            <v>JUMLAH</v>
          </cell>
          <cell r="K6536" t="e">
            <v>#REF!</v>
          </cell>
        </row>
        <row r="6537">
          <cell r="B6537" t="str">
            <v>SATUAN</v>
          </cell>
          <cell r="F6537" t="str">
            <v>M</v>
          </cell>
        </row>
        <row r="6539">
          <cell r="G6539" t="str">
            <v>HARGA SATUAN :  Rp.</v>
          </cell>
          <cell r="I6539" t="e">
            <v>#REF!</v>
          </cell>
          <cell r="J6539" t="str">
            <v>PER : M</v>
          </cell>
        </row>
        <row r="6546">
          <cell r="K6546" t="str">
            <v>K - 132</v>
          </cell>
        </row>
        <row r="6623">
          <cell r="K6623" t="str">
            <v>K - 139</v>
          </cell>
        </row>
        <row r="6700">
          <cell r="K6700" t="str">
            <v>K - 140</v>
          </cell>
        </row>
        <row r="7008">
          <cell r="K7008" t="str">
            <v>K - 722</v>
          </cell>
        </row>
        <row r="7085">
          <cell r="K7085" t="str">
            <v>K - 020'</v>
          </cell>
        </row>
        <row r="7162">
          <cell r="K7162" t="str">
            <v>K - 726</v>
          </cell>
        </row>
        <row r="7238">
          <cell r="K7238" t="str">
            <v>K - 725</v>
          </cell>
        </row>
      </sheetData>
      <sheetData sheetId="6"/>
      <sheetData sheetId="7">
        <row r="12">
          <cell r="B12" t="str">
            <v xml:space="preserve">G.50.K </v>
          </cell>
        </row>
        <row r="45">
          <cell r="B45" t="str">
            <v>Anl. W4</v>
          </cell>
        </row>
        <row r="60">
          <cell r="B60" t="str">
            <v>Anl. W.2</v>
          </cell>
        </row>
        <row r="68">
          <cell r="B68" t="str">
            <v>Anl. W.3</v>
          </cell>
        </row>
        <row r="134">
          <cell r="B134" t="str">
            <v>Anl. F.9</v>
          </cell>
        </row>
        <row r="150">
          <cell r="B150" t="str">
            <v>Anl. F.9a</v>
          </cell>
        </row>
        <row r="166">
          <cell r="B166" t="str">
            <v>Anl. F.9b</v>
          </cell>
        </row>
        <row r="182">
          <cell r="B182" t="str">
            <v>Anl. F.9c</v>
          </cell>
        </row>
        <row r="198">
          <cell r="B198" t="str">
            <v>G.43.b</v>
          </cell>
        </row>
        <row r="221">
          <cell r="B221" t="str">
            <v>G. 2</v>
          </cell>
        </row>
        <row r="230">
          <cell r="B230" t="str">
            <v>Anl G.67</v>
          </cell>
        </row>
      </sheetData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"/>
      <sheetName val="MPU"/>
      <sheetName val="Jad"/>
      <sheetName val="RAB"/>
      <sheetName val="Mob"/>
      <sheetName val="Ana"/>
      <sheetName val="Alat"/>
      <sheetName val="U&amp;B"/>
      <sheetName val="Sub"/>
      <sheetName val="Mob. Alat"/>
      <sheetName val="Mob Ala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Mata"/>
      <sheetName val="Analisa"/>
      <sheetName val="Jad"/>
      <sheetName val="Mat"/>
      <sheetName val="RAB"/>
      <sheetName val="Mob"/>
      <sheetName val="MobAlat"/>
      <sheetName val="Alat"/>
      <sheetName val="U &amp; B"/>
      <sheetName val="Jadwal"/>
      <sheetName val="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  <sheetName val="INFO"/>
      <sheetName val="Rekap"/>
      <sheetName val="BOQ"/>
      <sheetName val="Mobilisasi"/>
      <sheetName val="MPU 1"/>
      <sheetName val="MPPU"/>
      <sheetName val="4-Basic Price"/>
      <sheetName val="CPM"/>
      <sheetName val="DURASI"/>
      <sheetName val="Peta Quarry"/>
      <sheetName val="Perhitungan Mobilisasi Alat"/>
      <sheetName val="Lalu Lintas"/>
      <sheetName val="Jembatan Sementara"/>
      <sheetName val="SCHEDULE"/>
      <sheetName val="JADWAL PERALATAN"/>
      <sheetName val="JADWAL BHAN &amp; MTRAL"/>
      <sheetName val="JADWAL PERSONIL INTI &amp; TNG KERJ"/>
      <sheetName val="ONSITE"/>
      <sheetName val="PL BETON"/>
      <sheetName val="PL ASPAL"/>
      <sheetName val="PL BATU"/>
      <sheetName val="subkontrak "/>
      <sheetName val="5-ALAT(1)"/>
      <sheetName val="5-ALAT (2)"/>
      <sheetName val="D3"/>
      <sheetName val="D7(1)"/>
      <sheetName val="D7(2)"/>
      <sheetName val="Informasi"/>
      <sheetName val="4-formulir harga bahan"/>
      <sheetName val="Agg Halus &amp; Kasar"/>
      <sheetName val="Agg A"/>
      <sheetName val="Agg B"/>
      <sheetName val="Agg C"/>
      <sheetName val="D2"/>
      <sheetName val="D4"/>
      <sheetName val="D5"/>
      <sheetName val="D6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4-Analisa Quarry"/>
      <sheetName val="Sheet1"/>
    </sheetNames>
    <sheetDataSet>
      <sheetData sheetId="0"/>
      <sheetData sheetId="1"/>
      <sheetData sheetId="2">
        <row r="33">
          <cell r="H33">
            <v>407285246.16706043</v>
          </cell>
        </row>
      </sheetData>
      <sheetData sheetId="3">
        <row r="31">
          <cell r="G31">
            <v>24393000</v>
          </cell>
        </row>
        <row r="56">
          <cell r="G56">
            <v>0</v>
          </cell>
        </row>
        <row r="80">
          <cell r="G80">
            <v>323139973.18958741</v>
          </cell>
        </row>
        <row r="93">
          <cell r="G93">
            <v>0</v>
          </cell>
        </row>
        <row r="110">
          <cell r="G110">
            <v>0</v>
          </cell>
        </row>
        <row r="164">
          <cell r="G164">
            <v>0</v>
          </cell>
        </row>
        <row r="293">
          <cell r="G293">
            <v>22726341.507740237</v>
          </cell>
        </row>
        <row r="351">
          <cell r="G351">
            <v>0</v>
          </cell>
        </row>
        <row r="377">
          <cell r="G377">
            <v>0</v>
          </cell>
        </row>
        <row r="387">
          <cell r="G387">
            <v>0</v>
          </cell>
        </row>
      </sheetData>
      <sheetData sheetId="4"/>
      <sheetData sheetId="5"/>
      <sheetData sheetId="6"/>
      <sheetData sheetId="7">
        <row r="8">
          <cell r="E8" t="str">
            <v>Jam</v>
          </cell>
          <cell r="F8">
            <v>5714.2857142857147</v>
          </cell>
        </row>
        <row r="9">
          <cell r="E9" t="str">
            <v>Jam</v>
          </cell>
          <cell r="F9">
            <v>8700</v>
          </cell>
        </row>
        <row r="10">
          <cell r="E10" t="str">
            <v>Jam</v>
          </cell>
          <cell r="F10">
            <v>9800</v>
          </cell>
        </row>
        <row r="11">
          <cell r="E11" t="str">
            <v>Jam</v>
          </cell>
          <cell r="F11">
            <v>14285.714285714286</v>
          </cell>
        </row>
        <row r="12">
          <cell r="E12" t="str">
            <v>Jam</v>
          </cell>
          <cell r="F12">
            <v>11428.571428571429</v>
          </cell>
        </row>
        <row r="13">
          <cell r="E13" t="str">
            <v>Jam</v>
          </cell>
          <cell r="F13">
            <v>5828.5714285714284</v>
          </cell>
        </row>
        <row r="14">
          <cell r="E14" t="str">
            <v>Jam</v>
          </cell>
          <cell r="F14">
            <v>5000</v>
          </cell>
        </row>
        <row r="15">
          <cell r="E15" t="str">
            <v>Jam</v>
          </cell>
          <cell r="F15">
            <v>8600</v>
          </cell>
        </row>
        <row r="16">
          <cell r="E16" t="str">
            <v>Jam</v>
          </cell>
          <cell r="F16">
            <v>7271.4285714285716</v>
          </cell>
        </row>
        <row r="17">
          <cell r="E17" t="str">
            <v>Jam</v>
          </cell>
          <cell r="F17">
            <v>12985.714285714286</v>
          </cell>
        </row>
        <row r="30">
          <cell r="F30" t="str">
            <v>Sabang, 15 Juni 2011</v>
          </cell>
        </row>
        <row r="31">
          <cell r="F31" t="str">
            <v>Penawar,</v>
          </cell>
        </row>
        <row r="32">
          <cell r="F32" t="str">
            <v xml:space="preserve"> CV. ANEUK MEUBEUDOEH</v>
          </cell>
        </row>
        <row r="36">
          <cell r="F36" t="str">
            <v>SABRI</v>
          </cell>
        </row>
        <row r="37">
          <cell r="F37" t="str">
            <v>Direktur</v>
          </cell>
        </row>
        <row r="53">
          <cell r="F53">
            <v>116297.30487548928</v>
          </cell>
        </row>
        <row r="54">
          <cell r="F54">
            <v>116297.30487548928</v>
          </cell>
        </row>
        <row r="58">
          <cell r="F58">
            <v>45000</v>
          </cell>
        </row>
        <row r="60">
          <cell r="F60">
            <v>6732.6779999999999</v>
          </cell>
        </row>
        <row r="62">
          <cell r="F62">
            <v>4500</v>
          </cell>
        </row>
        <row r="63">
          <cell r="F63">
            <v>41000</v>
          </cell>
        </row>
        <row r="69">
          <cell r="F69">
            <v>73200</v>
          </cell>
        </row>
        <row r="72">
          <cell r="F72">
            <v>11000</v>
          </cell>
        </row>
        <row r="73">
          <cell r="F73">
            <v>2100000</v>
          </cell>
        </row>
        <row r="80">
          <cell r="F80">
            <v>109170.09294431053</v>
          </cell>
        </row>
        <row r="81">
          <cell r="F81">
            <v>98698.355103760856</v>
          </cell>
        </row>
        <row r="88">
          <cell r="F88">
            <v>11000</v>
          </cell>
        </row>
        <row r="92">
          <cell r="F92">
            <v>931028.372066407</v>
          </cell>
        </row>
        <row r="93">
          <cell r="F93">
            <v>8000</v>
          </cell>
        </row>
        <row r="99">
          <cell r="F99">
            <v>57600</v>
          </cell>
        </row>
        <row r="102">
          <cell r="F102">
            <v>522237.87216247321</v>
          </cell>
        </row>
        <row r="103">
          <cell r="F103">
            <v>10000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9">
          <cell r="AW9">
            <v>119979.11758190305</v>
          </cell>
        </row>
        <row r="12">
          <cell r="AW12">
            <v>89314.308310172361</v>
          </cell>
        </row>
        <row r="13">
          <cell r="AW13">
            <v>51754.337919047619</v>
          </cell>
        </row>
        <row r="14">
          <cell r="AW14">
            <v>171994.30831017235</v>
          </cell>
        </row>
        <row r="15">
          <cell r="AW15">
            <v>131714.30831017238</v>
          </cell>
        </row>
        <row r="16">
          <cell r="AW16">
            <v>227114.30831017235</v>
          </cell>
        </row>
        <row r="17">
          <cell r="AW17">
            <v>166694.30831017235</v>
          </cell>
        </row>
        <row r="18">
          <cell r="AW18">
            <v>227114.30831017235</v>
          </cell>
        </row>
        <row r="20">
          <cell r="AW20">
            <v>168814.30831017235</v>
          </cell>
        </row>
        <row r="22">
          <cell r="AW22">
            <v>127474.30831017238</v>
          </cell>
        </row>
        <row r="23">
          <cell r="AW23">
            <v>84014.308310172361</v>
          </cell>
        </row>
        <row r="24">
          <cell r="AW24">
            <v>112634.30831017238</v>
          </cell>
        </row>
        <row r="26">
          <cell r="AW26">
            <v>112634.30831017238</v>
          </cell>
        </row>
        <row r="29">
          <cell r="AW29">
            <v>32074.314534451874</v>
          </cell>
        </row>
        <row r="30">
          <cell r="AW30">
            <v>131714.30831017238</v>
          </cell>
        </row>
        <row r="34">
          <cell r="AW34">
            <v>474904.33805665799</v>
          </cell>
        </row>
        <row r="36">
          <cell r="AW36">
            <v>211214.30677161782</v>
          </cell>
        </row>
        <row r="38">
          <cell r="AW38">
            <v>158214.30677161782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  <sheetName val="Kuantitas &amp; Harga"/>
      <sheetName val="Analisa Alat"/>
      <sheetName val="Price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85">
          <cell r="L185" t="str">
            <v>FORMULIR STANDAR UNTUK</v>
          </cell>
        </row>
        <row r="186">
          <cell r="L186" t="str">
            <v>PEREKAMAN ANALISA MASING-MASING HARGA SATUAN</v>
          </cell>
        </row>
        <row r="187">
          <cell r="L187">
            <v>0</v>
          </cell>
        </row>
        <row r="188">
          <cell r="L188" t="str">
            <v>NAMA KEGIATAN</v>
          </cell>
          <cell r="O188" t="str">
            <v>:  ADB Earthquake and Tsunami Emergency Support (ETESP), Road and Bridge Component</v>
          </cell>
        </row>
        <row r="189">
          <cell r="L189" t="str">
            <v>NOMOR HIBAH</v>
          </cell>
          <cell r="O189" t="str">
            <v>:  ADB 0002 - INO</v>
          </cell>
        </row>
        <row r="190">
          <cell r="L190" t="str">
            <v>NAMA PAKET</v>
          </cell>
          <cell r="O190" t="str">
            <v>:  Package 3 Bridges on the ECR ( 9 bridges)</v>
          </cell>
        </row>
        <row r="191">
          <cell r="L191" t="str">
            <v>LOKASI PROYEK</v>
          </cell>
          <cell r="O191" t="str">
            <v>:  Aceh Besar / Pidie</v>
          </cell>
        </row>
        <row r="192">
          <cell r="L192" t="str">
            <v>PROVINSI</v>
          </cell>
          <cell r="O192" t="str">
            <v>:  Nanggroe Aceh Darussalam</v>
          </cell>
        </row>
        <row r="194">
          <cell r="L194" t="str">
            <v>ITEM PEMBAYARAN NO.</v>
          </cell>
          <cell r="O194" t="str">
            <v>:  7.1 (3)</v>
          </cell>
          <cell r="R194" t="str">
            <v>PERKIRAAN VOL. PEK.</v>
          </cell>
          <cell r="T194" t="str">
            <v>:</v>
          </cell>
          <cell r="U194">
            <v>461.7</v>
          </cell>
        </row>
        <row r="195">
          <cell r="L195" t="str">
            <v>JENIS PEKERJAAN</v>
          </cell>
          <cell r="O195" t="str">
            <v>:  Beton K-350</v>
          </cell>
          <cell r="R195" t="str">
            <v>TOTAL HARGA (Rp.)</v>
          </cell>
          <cell r="T195" t="str">
            <v>:</v>
          </cell>
          <cell r="U195">
            <v>515759991.30000001</v>
          </cell>
        </row>
        <row r="196">
          <cell r="L196" t="str">
            <v>SATUAN PEMBAYARAN</v>
          </cell>
          <cell r="O196" t="str">
            <v>:  M3</v>
          </cell>
          <cell r="R196" t="str">
            <v>% THD. BIAYA PROYEK</v>
          </cell>
          <cell r="T196" t="str">
            <v>:</v>
          </cell>
          <cell r="U196">
            <v>31.200487250148651</v>
          </cell>
        </row>
        <row r="199">
          <cell r="Q199" t="str">
            <v>PERKIRAAN</v>
          </cell>
          <cell r="R199" t="str">
            <v>HARGA</v>
          </cell>
          <cell r="S199" t="str">
            <v>JUMLAH</v>
          </cell>
        </row>
        <row r="200">
          <cell r="L200" t="str">
            <v>NO.</v>
          </cell>
          <cell r="N200" t="str">
            <v>KOMPONEN</v>
          </cell>
          <cell r="P200" t="str">
            <v>SATUAN</v>
          </cell>
          <cell r="Q200" t="str">
            <v>KUANTITAS</v>
          </cell>
          <cell r="R200" t="str">
            <v>SATUAN</v>
          </cell>
          <cell r="S200" t="str">
            <v>HARGA</v>
          </cell>
        </row>
        <row r="201">
          <cell r="R201" t="str">
            <v>(Rp.)</v>
          </cell>
          <cell r="S201" t="str">
            <v>(Rp.)</v>
          </cell>
        </row>
        <row r="204">
          <cell r="L204" t="str">
            <v>A.</v>
          </cell>
          <cell r="N204" t="str">
            <v>TENAGA</v>
          </cell>
        </row>
        <row r="206">
          <cell r="L206" t="str">
            <v>1.</v>
          </cell>
          <cell r="N206" t="str">
            <v>Pekerja</v>
          </cell>
          <cell r="O206" t="str">
            <v>(L01)</v>
          </cell>
          <cell r="P206" t="str">
            <v>jam</v>
          </cell>
          <cell r="Q206">
            <v>5.3012048192771086</v>
          </cell>
          <cell r="R206">
            <v>5817</v>
          </cell>
          <cell r="U206">
            <v>30837.108433734942</v>
          </cell>
        </row>
        <row r="207">
          <cell r="L207" t="str">
            <v>2.</v>
          </cell>
          <cell r="N207" t="str">
            <v>Tukang</v>
          </cell>
          <cell r="O207" t="str">
            <v>(L02)</v>
          </cell>
          <cell r="P207" t="str">
            <v>jam</v>
          </cell>
          <cell r="Q207">
            <v>1.7670682730923695</v>
          </cell>
          <cell r="R207">
            <v>9285</v>
          </cell>
          <cell r="U207">
            <v>16407.22891566265</v>
          </cell>
        </row>
        <row r="208">
          <cell r="L208" t="str">
            <v>3.</v>
          </cell>
          <cell r="N208" t="str">
            <v>Mandor</v>
          </cell>
          <cell r="O208" t="str">
            <v>(L03)</v>
          </cell>
          <cell r="P208" t="str">
            <v>jam</v>
          </cell>
          <cell r="Q208">
            <v>0.44176706827309237</v>
          </cell>
          <cell r="R208">
            <v>8357</v>
          </cell>
          <cell r="U208">
            <v>3691.8473895582329</v>
          </cell>
        </row>
        <row r="210">
          <cell r="Q210" t="str">
            <v xml:space="preserve">JUMLAH HARGA TENAGA   </v>
          </cell>
          <cell r="U210">
            <v>50936.184738955832</v>
          </cell>
        </row>
        <row r="212">
          <cell r="L212" t="str">
            <v>B.</v>
          </cell>
          <cell r="N212" t="str">
            <v>BAHAN</v>
          </cell>
        </row>
        <row r="214">
          <cell r="L214" t="str">
            <v>1.</v>
          </cell>
          <cell r="N214" t="str">
            <v>Semen</v>
          </cell>
          <cell r="O214" t="str">
            <v>(M12)</v>
          </cell>
          <cell r="P214" t="str">
            <v>Kg</v>
          </cell>
          <cell r="Q214">
            <v>421.41327623126341</v>
          </cell>
          <cell r="R214">
            <v>850</v>
          </cell>
          <cell r="U214">
            <v>358201.28479657392</v>
          </cell>
        </row>
        <row r="215">
          <cell r="L215" t="str">
            <v>2.</v>
          </cell>
          <cell r="N215" t="str">
            <v>Pasir</v>
          </cell>
          <cell r="O215" t="str">
            <v>(M01)</v>
          </cell>
          <cell r="P215" t="str">
            <v>M3</v>
          </cell>
          <cell r="Q215">
            <v>0.47738222698072796</v>
          </cell>
          <cell r="R215">
            <v>81750</v>
          </cell>
          <cell r="U215">
            <v>39025.99705567451</v>
          </cell>
        </row>
        <row r="216">
          <cell r="L216" t="str">
            <v>3.</v>
          </cell>
          <cell r="N216" t="str">
            <v>Agregat Kasar</v>
          </cell>
          <cell r="O216" t="str">
            <v>(M03)</v>
          </cell>
          <cell r="P216" t="str">
            <v>M3</v>
          </cell>
          <cell r="Q216">
            <v>0.70874051002530658</v>
          </cell>
          <cell r="R216">
            <v>146996.02665383945</v>
          </cell>
          <cell r="U216">
            <v>104182.03890233573</v>
          </cell>
        </row>
        <row r="217">
          <cell r="L217" t="str">
            <v>4.</v>
          </cell>
          <cell r="N217" t="str">
            <v>Kayu Perancah</v>
          </cell>
          <cell r="O217" t="str">
            <v>(M19)</v>
          </cell>
          <cell r="P217" t="str">
            <v>M3</v>
          </cell>
          <cell r="Q217">
            <v>0.15</v>
          </cell>
          <cell r="R217">
            <v>2250000</v>
          </cell>
          <cell r="U217">
            <v>337500</v>
          </cell>
        </row>
        <row r="218">
          <cell r="L218" t="str">
            <v>5.</v>
          </cell>
          <cell r="N218" t="str">
            <v>Paku</v>
          </cell>
          <cell r="O218" t="str">
            <v>(M18)</v>
          </cell>
          <cell r="P218" t="str">
            <v>Kg</v>
          </cell>
          <cell r="Q218">
            <v>1</v>
          </cell>
          <cell r="R218">
            <v>7500</v>
          </cell>
          <cell r="U218">
            <v>7500</v>
          </cell>
        </row>
        <row r="220">
          <cell r="Q220" t="str">
            <v xml:space="preserve">JUMLAH HARGA BAHAN   </v>
          </cell>
          <cell r="U220">
            <v>846409.32075458416</v>
          </cell>
        </row>
        <row r="222">
          <cell r="L222" t="str">
            <v>C.</v>
          </cell>
          <cell r="N222" t="str">
            <v>PERALATAN</v>
          </cell>
        </row>
        <row r="224">
          <cell r="L224" t="str">
            <v>1.</v>
          </cell>
          <cell r="N224" t="str">
            <v>Conc. Mixer</v>
          </cell>
          <cell r="O224" t="str">
            <v>(E06)</v>
          </cell>
          <cell r="P224" t="str">
            <v>jam</v>
          </cell>
          <cell r="Q224">
            <v>0.44176706827309237</v>
          </cell>
          <cell r="R224">
            <v>46833.52213114754</v>
          </cell>
          <cell r="U224">
            <v>20689.507768780037</v>
          </cell>
        </row>
        <row r="225">
          <cell r="L225" t="str">
            <v>2.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5.7119269368695345E-2</v>
          </cell>
          <cell r="R225">
            <v>153142.56981294346</v>
          </cell>
          <cell r="U225">
            <v>8747.3916969597503</v>
          </cell>
        </row>
        <row r="226">
          <cell r="L226" t="str">
            <v>3.</v>
          </cell>
          <cell r="N226" t="str">
            <v>Con. Vibrator</v>
          </cell>
          <cell r="O226" t="str">
            <v>(E20)</v>
          </cell>
          <cell r="P226" t="str">
            <v>jam</v>
          </cell>
          <cell r="Q226">
            <v>0.44176706827309237</v>
          </cell>
          <cell r="R226">
            <v>42481.32360655738</v>
          </cell>
          <cell r="U226">
            <v>18766.849786029365</v>
          </cell>
        </row>
        <row r="227">
          <cell r="L227" t="str">
            <v>4.</v>
          </cell>
          <cell r="N227" t="str">
            <v>Con, Pump</v>
          </cell>
          <cell r="O227" t="str">
            <v>(E28)</v>
          </cell>
          <cell r="P227" t="str">
            <v>jam</v>
          </cell>
          <cell r="Q227">
            <v>0.44176706827309237</v>
          </cell>
          <cell r="R227">
            <v>157065.89507266926</v>
          </cell>
          <cell r="U227">
            <v>69386.539991942234</v>
          </cell>
        </row>
        <row r="228">
          <cell r="L228" t="str">
            <v>5.</v>
          </cell>
          <cell r="N228" t="str">
            <v>Alat Bantu</v>
          </cell>
          <cell r="P228" t="str">
            <v>Ls</v>
          </cell>
          <cell r="Q228">
            <v>1</v>
          </cell>
          <cell r="R228">
            <v>600</v>
          </cell>
          <cell r="U228">
            <v>600</v>
          </cell>
        </row>
        <row r="232">
          <cell r="Q232" t="str">
            <v xml:space="preserve">JUMLAH HARGA PERALATAN   </v>
          </cell>
          <cell r="U232">
            <v>118190.28924371139</v>
          </cell>
        </row>
        <row r="234">
          <cell r="L234" t="str">
            <v>D.</v>
          </cell>
          <cell r="N234" t="str">
            <v>JUMLAH HARGA TENAGA, BAHAN DAN PERALATAN  ( A + B + C )</v>
          </cell>
          <cell r="U234">
            <v>1015535.7947372514</v>
          </cell>
        </row>
        <row r="235">
          <cell r="L235" t="str">
            <v>E.</v>
          </cell>
          <cell r="N235" t="str">
            <v>OVERHEAD &amp; PROFIT</v>
          </cell>
          <cell r="P235">
            <v>10</v>
          </cell>
          <cell r="Q235" t="str">
            <v>%  x  D</v>
          </cell>
          <cell r="U235">
            <v>101553.57947372514</v>
          </cell>
        </row>
        <row r="236">
          <cell r="L236" t="str">
            <v>F.</v>
          </cell>
          <cell r="N236" t="str">
            <v>HARGA SATUAN PEKERJAAN  ( D + E )</v>
          </cell>
          <cell r="U236">
            <v>1117089.3742109765</v>
          </cell>
        </row>
        <row r="237">
          <cell r="L237" t="str">
            <v>G.</v>
          </cell>
          <cell r="N237" t="str">
            <v>HARGA SATUAN DIBULATKAN</v>
          </cell>
          <cell r="U237">
            <v>1117089</v>
          </cell>
        </row>
        <row r="238">
          <cell r="L238" t="str">
            <v>Note: 1</v>
          </cell>
          <cell r="N238" t="str">
            <v>SATUAN dapat berdasarkan atas jam operasi untuk Tenaga Kerja dan Peralatan, volume dan/atau ukuran</v>
          </cell>
        </row>
        <row r="239">
          <cell r="N239" t="str">
            <v>berat untuk bahan-bahan.</v>
          </cell>
        </row>
        <row r="240">
          <cell r="L240">
            <v>2</v>
          </cell>
          <cell r="N240" t="str">
            <v>Kuantitas satuan adalah kuantitas setiap komponen untuk menyelesaikan satu satuan pekerjaan dari nomor</v>
          </cell>
        </row>
        <row r="241">
          <cell r="N241" t="str">
            <v>mata pembayaran.</v>
          </cell>
        </row>
        <row r="242">
          <cell r="L242">
            <v>3</v>
          </cell>
          <cell r="N242" t="str">
            <v>Biaya satuan untuk peralatan sudah termasuk bahan bakar, bahan habis dipakai dan operator.</v>
          </cell>
        </row>
        <row r="243">
          <cell r="L243">
            <v>4</v>
          </cell>
          <cell r="N243" t="str">
            <v>Biaya satuan sudah termasuk pengeluaran untuk seluruh pajak yang berkaitan (tetapi tidak termasuk PPN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>
            <v>0</v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>
            <v>0</v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>
        <row r="4">
          <cell r="B4" t="str">
            <v xml:space="preserve">  Satuan Kerja</v>
          </cell>
        </row>
      </sheetData>
      <sheetData sheetId="4"/>
      <sheetData sheetId="5"/>
      <sheetData sheetId="6">
        <row r="74">
          <cell r="H74">
            <v>38447.958658696487</v>
          </cell>
        </row>
        <row r="89">
          <cell r="H89">
            <v>46105.27288773546</v>
          </cell>
        </row>
        <row r="302">
          <cell r="H302">
            <v>47097.638755579086</v>
          </cell>
        </row>
        <row r="430">
          <cell r="H430">
            <v>48745.365897882977</v>
          </cell>
        </row>
      </sheetData>
      <sheetData sheetId="7">
        <row r="79">
          <cell r="F79">
            <v>9477.4366844543947</v>
          </cell>
        </row>
        <row r="110">
          <cell r="F110">
            <v>42041.93851179097</v>
          </cell>
        </row>
        <row r="120">
          <cell r="F120">
            <v>135900</v>
          </cell>
        </row>
        <row r="232">
          <cell r="F232">
            <v>165500</v>
          </cell>
        </row>
        <row r="365">
          <cell r="F365">
            <v>162800</v>
          </cell>
        </row>
        <row r="456">
          <cell r="F456">
            <v>171900</v>
          </cell>
        </row>
        <row r="568">
          <cell r="F568">
            <v>159400</v>
          </cell>
        </row>
        <row r="680">
          <cell r="F680">
            <v>114800</v>
          </cell>
        </row>
      </sheetData>
      <sheetData sheetId="8">
        <row r="21">
          <cell r="Q21">
            <v>800</v>
          </cell>
        </row>
        <row r="24">
          <cell r="Q24">
            <v>500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(MAJOR ITEM)"/>
      <sheetName val="PROGRESS"/>
      <sheetName val="Schdule (SISA)"/>
      <sheetName val="Schdule (ALAT&amp;BAHAN)"/>
      <sheetName val="ANATEK"/>
      <sheetName val="SCHDUL ALAT"/>
      <sheetName val="SCHDUL BAHAN"/>
      <sheetName val="RAB"/>
      <sheetName val="Schdule"/>
      <sheetName val="A_Ber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">
          <cell r="Z16">
            <v>77</v>
          </cell>
        </row>
        <row r="17">
          <cell r="Z17">
            <v>76</v>
          </cell>
        </row>
        <row r="18">
          <cell r="Z18">
            <v>75</v>
          </cell>
        </row>
        <row r="19">
          <cell r="Z19">
            <v>74</v>
          </cell>
        </row>
        <row r="21">
          <cell r="Z21">
            <v>73</v>
          </cell>
        </row>
        <row r="22">
          <cell r="Z22">
            <v>72</v>
          </cell>
        </row>
        <row r="23">
          <cell r="Z23">
            <v>71</v>
          </cell>
        </row>
        <row r="24">
          <cell r="Z24">
            <v>69</v>
          </cell>
        </row>
        <row r="25">
          <cell r="Z25">
            <v>68</v>
          </cell>
        </row>
        <row r="26">
          <cell r="Z26">
            <v>67</v>
          </cell>
        </row>
        <row r="28">
          <cell r="Z28">
            <v>66</v>
          </cell>
        </row>
        <row r="29">
          <cell r="Z29">
            <v>65</v>
          </cell>
        </row>
        <row r="31">
          <cell r="Z31">
            <v>64</v>
          </cell>
        </row>
        <row r="32">
          <cell r="Z32">
            <v>63</v>
          </cell>
        </row>
        <row r="34">
          <cell r="Z34">
            <v>62</v>
          </cell>
        </row>
        <row r="35">
          <cell r="Z35">
            <v>61</v>
          </cell>
        </row>
        <row r="37">
          <cell r="Z37">
            <v>60</v>
          </cell>
        </row>
        <row r="38">
          <cell r="Z38">
            <v>59</v>
          </cell>
        </row>
        <row r="40">
          <cell r="Z40">
            <v>58</v>
          </cell>
        </row>
        <row r="41">
          <cell r="Z41">
            <v>57</v>
          </cell>
        </row>
        <row r="43">
          <cell r="Z43">
            <v>56</v>
          </cell>
        </row>
        <row r="44">
          <cell r="Z44">
            <v>55</v>
          </cell>
        </row>
        <row r="46">
          <cell r="Z46">
            <v>54</v>
          </cell>
        </row>
        <row r="47">
          <cell r="Z47">
            <v>53</v>
          </cell>
        </row>
        <row r="49">
          <cell r="Z49">
            <v>52</v>
          </cell>
        </row>
        <row r="50">
          <cell r="Z50">
            <v>51</v>
          </cell>
        </row>
        <row r="52">
          <cell r="Z52">
            <v>50</v>
          </cell>
        </row>
        <row r="53">
          <cell r="Z53">
            <v>49</v>
          </cell>
        </row>
        <row r="54">
          <cell r="Z54">
            <v>48</v>
          </cell>
        </row>
        <row r="55">
          <cell r="Z55">
            <v>46</v>
          </cell>
        </row>
        <row r="56">
          <cell r="Z56">
            <v>45</v>
          </cell>
        </row>
        <row r="57">
          <cell r="Z57">
            <v>44</v>
          </cell>
        </row>
        <row r="59">
          <cell r="Z59">
            <v>43</v>
          </cell>
        </row>
        <row r="60">
          <cell r="Z60">
            <v>42</v>
          </cell>
        </row>
        <row r="62">
          <cell r="Z62">
            <v>41</v>
          </cell>
        </row>
        <row r="63">
          <cell r="Z63">
            <v>40</v>
          </cell>
        </row>
        <row r="65">
          <cell r="Z65">
            <v>39</v>
          </cell>
        </row>
        <row r="66">
          <cell r="Z66">
            <v>38</v>
          </cell>
        </row>
        <row r="68">
          <cell r="Z68">
            <v>37</v>
          </cell>
        </row>
        <row r="69">
          <cell r="Z69">
            <v>36</v>
          </cell>
        </row>
        <row r="71">
          <cell r="Z71">
            <v>35</v>
          </cell>
        </row>
        <row r="72">
          <cell r="Z72">
            <v>34</v>
          </cell>
        </row>
        <row r="74">
          <cell r="Z74">
            <v>33</v>
          </cell>
        </row>
        <row r="75">
          <cell r="Z75">
            <v>32</v>
          </cell>
        </row>
        <row r="77">
          <cell r="Z77">
            <v>31</v>
          </cell>
        </row>
        <row r="78">
          <cell r="Z78">
            <v>30</v>
          </cell>
        </row>
        <row r="80">
          <cell r="Z80">
            <v>29</v>
          </cell>
        </row>
        <row r="81">
          <cell r="Z81">
            <v>28</v>
          </cell>
        </row>
        <row r="83">
          <cell r="Z83">
            <v>27</v>
          </cell>
        </row>
        <row r="84">
          <cell r="Z84">
            <v>26</v>
          </cell>
        </row>
        <row r="86">
          <cell r="Z86">
            <v>25</v>
          </cell>
        </row>
        <row r="87">
          <cell r="Z87">
            <v>24</v>
          </cell>
        </row>
        <row r="89">
          <cell r="Z89">
            <v>23</v>
          </cell>
        </row>
        <row r="90">
          <cell r="Z90">
            <v>22</v>
          </cell>
        </row>
        <row r="92">
          <cell r="Z92">
            <v>21</v>
          </cell>
        </row>
        <row r="93">
          <cell r="Z93">
            <v>20</v>
          </cell>
        </row>
        <row r="94">
          <cell r="Z94">
            <v>19</v>
          </cell>
        </row>
        <row r="95">
          <cell r="Z95">
            <v>17</v>
          </cell>
        </row>
        <row r="96">
          <cell r="Z96">
            <v>16</v>
          </cell>
        </row>
        <row r="97">
          <cell r="Z97">
            <v>15</v>
          </cell>
        </row>
        <row r="99">
          <cell r="Z99">
            <v>14</v>
          </cell>
        </row>
        <row r="100">
          <cell r="Z100">
            <v>13</v>
          </cell>
        </row>
        <row r="101">
          <cell r="Z101">
            <v>12</v>
          </cell>
        </row>
        <row r="102">
          <cell r="Z102">
            <v>11</v>
          </cell>
        </row>
        <row r="103">
          <cell r="Z103">
            <v>9</v>
          </cell>
        </row>
        <row r="104">
          <cell r="Z104">
            <v>8</v>
          </cell>
        </row>
        <row r="106">
          <cell r="Z106">
            <v>7</v>
          </cell>
        </row>
        <row r="107">
          <cell r="Z107">
            <v>6</v>
          </cell>
        </row>
        <row r="108">
          <cell r="Z108">
            <v>5</v>
          </cell>
        </row>
        <row r="109">
          <cell r="Z109">
            <v>4</v>
          </cell>
        </row>
        <row r="110">
          <cell r="Z110">
            <v>3</v>
          </cell>
        </row>
        <row r="111">
          <cell r="Z111">
            <v>2</v>
          </cell>
        </row>
        <row r="112">
          <cell r="Z112">
            <v>1</v>
          </cell>
        </row>
      </sheetData>
      <sheetData sheetId="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. K&amp;H"/>
      <sheetName val="Klas A"/>
      <sheetName val="Klas B"/>
      <sheetName val="Klas C"/>
      <sheetName val="Alat1"/>
      <sheetName val="Alat2"/>
      <sheetName val="Quarry"/>
      <sheetName val="daftar alat"/>
      <sheetName val="Basic"/>
      <sheetName val="10a"/>
      <sheetName val="10b"/>
      <sheetName val="10c"/>
      <sheetName val="9"/>
      <sheetName val="8"/>
      <sheetName val="7a"/>
      <sheetName val="7b"/>
      <sheetName val="6a"/>
      <sheetName val="6b"/>
      <sheetName val="5"/>
      <sheetName val="4"/>
      <sheetName val="3"/>
      <sheetName val="2"/>
      <sheetName val="Mobilisasi"/>
      <sheetName val="LL"/>
      <sheetName val="JS"/>
      <sheetName val="Kuantitas &amp; Harga"/>
      <sheetName val="Rekap"/>
      <sheetName val="Pek. Utama"/>
      <sheetName val="%"/>
      <sheetName val="Info"/>
      <sheetName val="pek. disubkontrakkan"/>
      <sheetName val="MATA PEMB.UTAMA"/>
      <sheetName val="Daftar Peralatan"/>
      <sheetName val="Daftar Personil"/>
      <sheetName val="Daftar Lampiran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0">
          <cell r="F40">
            <v>133900</v>
          </cell>
        </row>
        <row r="50">
          <cell r="F50">
            <v>140300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Sheet1"/>
      <sheetName val="Rekap"/>
      <sheetName val="Peta Quarry"/>
      <sheetName val="BOQ"/>
      <sheetName val="Lamp. 1"/>
      <sheetName val="Mobilisasi"/>
      <sheetName val="Perhitungan Mobilisasi Alat"/>
      <sheetName val="Lalu Lintas"/>
      <sheetName val="Jembatan Sementara"/>
      <sheetName val="Informasi"/>
      <sheetName val="Analisa K3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iv2"/>
      <sheetName val="Div3"/>
      <sheetName val="Div4"/>
      <sheetName val="Div5"/>
      <sheetName val="Div6"/>
      <sheetName val="D6 ASBT"/>
      <sheetName val="Div7(1)"/>
      <sheetName val="Div7(2)"/>
      <sheetName val="Div7(3)"/>
      <sheetName val="Div8(1)"/>
      <sheetName val="Div8(2)"/>
      <sheetName val="Div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G29">
            <v>65396000</v>
          </cell>
        </row>
        <row r="54">
          <cell r="G54">
            <v>5119291.8443368562</v>
          </cell>
        </row>
        <row r="78">
          <cell r="G78">
            <v>64614003.882596225</v>
          </cell>
        </row>
        <row r="91">
          <cell r="G91">
            <v>1798616.45</v>
          </cell>
        </row>
        <row r="108">
          <cell r="G108">
            <v>97614537.88512063</v>
          </cell>
        </row>
        <row r="162">
          <cell r="G162">
            <v>236478157.85497063</v>
          </cell>
        </row>
        <row r="291">
          <cell r="G291">
            <v>452710898.01791221</v>
          </cell>
        </row>
        <row r="351">
          <cell r="G351">
            <v>121279332.83255732</v>
          </cell>
        </row>
        <row r="377">
          <cell r="G377">
            <v>0</v>
          </cell>
        </row>
        <row r="388">
          <cell r="G38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F8">
            <v>5138.8888888888887</v>
          </cell>
        </row>
        <row r="9">
          <cell r="F9">
            <v>6567.4603174603171</v>
          </cell>
        </row>
        <row r="10">
          <cell r="F10">
            <v>8710.3174603174593</v>
          </cell>
        </row>
        <row r="50">
          <cell r="F50">
            <v>208063.56380910322</v>
          </cell>
        </row>
        <row r="51">
          <cell r="F51">
            <v>208063.56380910322</v>
          </cell>
        </row>
        <row r="52">
          <cell r="F52">
            <v>1500</v>
          </cell>
        </row>
        <row r="57">
          <cell r="F57">
            <v>8911.4249999999993</v>
          </cell>
        </row>
        <row r="59">
          <cell r="F59">
            <v>6700</v>
          </cell>
        </row>
        <row r="60">
          <cell r="F60">
            <v>60000</v>
          </cell>
        </row>
        <row r="65">
          <cell r="F65">
            <v>138300</v>
          </cell>
        </row>
        <row r="68">
          <cell r="F68">
            <v>10000</v>
          </cell>
        </row>
        <row r="69">
          <cell r="F69">
            <v>640000</v>
          </cell>
        </row>
        <row r="76">
          <cell r="F76">
            <v>226304.65223849134</v>
          </cell>
        </row>
        <row r="77">
          <cell r="F77">
            <v>182530.5599586415</v>
          </cell>
        </row>
        <row r="88">
          <cell r="F88">
            <v>1108128.3755638339</v>
          </cell>
        </row>
        <row r="89">
          <cell r="F89">
            <v>10000</v>
          </cell>
        </row>
        <row r="96">
          <cell r="F96">
            <v>198200</v>
          </cell>
        </row>
        <row r="99">
          <cell r="F99">
            <v>802693.41450932017</v>
          </cell>
        </row>
        <row r="100">
          <cell r="F100">
            <v>10000</v>
          </cell>
        </row>
      </sheetData>
      <sheetData sheetId="15"/>
      <sheetData sheetId="16"/>
      <sheetData sheetId="17">
        <row r="9">
          <cell r="AW9">
            <v>284671.6755853208</v>
          </cell>
        </row>
        <row r="12">
          <cell r="AW12">
            <v>130075.70998960536</v>
          </cell>
        </row>
        <row r="13">
          <cell r="AW13">
            <v>74331.111111111095</v>
          </cell>
        </row>
        <row r="14">
          <cell r="AW14">
            <v>425896.81862418947</v>
          </cell>
        </row>
        <row r="15">
          <cell r="AW15">
            <v>222774.60941795213</v>
          </cell>
        </row>
        <row r="16">
          <cell r="AW16">
            <v>395645.63224722602</v>
          </cell>
        </row>
        <row r="17">
          <cell r="AW17">
            <v>402898.53344458557</v>
          </cell>
        </row>
        <row r="18">
          <cell r="AW18">
            <v>358362.41929821618</v>
          </cell>
        </row>
        <row r="20">
          <cell r="AW20">
            <v>381277.05814524565</v>
          </cell>
        </row>
        <row r="22">
          <cell r="AW22">
            <v>330641.79579491564</v>
          </cell>
        </row>
        <row r="23">
          <cell r="AW23">
            <v>162437.34706762209</v>
          </cell>
        </row>
        <row r="24">
          <cell r="AW24">
            <v>229211.93909600817</v>
          </cell>
        </row>
        <row r="26">
          <cell r="AW26">
            <v>243876.6695226187</v>
          </cell>
        </row>
        <row r="29">
          <cell r="AW29">
            <v>29257.599249508457</v>
          </cell>
        </row>
        <row r="30">
          <cell r="AW30">
            <v>208358.43374433499</v>
          </cell>
        </row>
        <row r="34">
          <cell r="AW34">
            <v>780435.29022121674</v>
          </cell>
        </row>
        <row r="36">
          <cell r="AW36">
            <v>375346.99781096372</v>
          </cell>
        </row>
        <row r="38">
          <cell r="AW38">
            <v>426547.52751240658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Mobilisasi"/>
      <sheetName val="Div 2"/>
      <sheetName val="Div. 3"/>
      <sheetName val="Div. 4"/>
      <sheetName val="Div. 5"/>
      <sheetName val="Div. 6"/>
      <sheetName val="Div. 7(1)"/>
      <sheetName val="Div. 7(2)"/>
      <sheetName val="Basic Pric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"/>
      <sheetName val="Progress"/>
      <sheetName val="Material"/>
      <sheetName val="Koef"/>
      <sheetName val="Mixer"/>
    </sheetNames>
    <sheetDataSet>
      <sheetData sheetId="0"/>
      <sheetData sheetId="1">
        <row r="21">
          <cell r="C21">
            <v>2.79</v>
          </cell>
        </row>
        <row r="22">
          <cell r="C22">
            <v>4.1849999999999996</v>
          </cell>
        </row>
        <row r="49">
          <cell r="C49">
            <v>1</v>
          </cell>
        </row>
      </sheetData>
      <sheetData sheetId="2"/>
      <sheetData sheetId="3"/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9">
          <cell r="E39">
            <v>500000</v>
          </cell>
        </row>
        <row r="40">
          <cell r="E40">
            <v>5000</v>
          </cell>
        </row>
        <row r="70">
          <cell r="E70">
            <v>70000</v>
          </cell>
        </row>
        <row r="71">
          <cell r="E71">
            <v>15000</v>
          </cell>
        </row>
        <row r="86">
          <cell r="E86">
            <v>70000</v>
          </cell>
        </row>
        <row r="94">
          <cell r="E94">
            <v>7000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duk"/>
      <sheetName val="Rekap Biaya"/>
      <sheetName val="Kuantitas &amp; Harga"/>
      <sheetName val="K&amp;H AIR BERSIH"/>
      <sheetName val="Mobilisasi (2)"/>
      <sheetName val="Analisa"/>
      <sheetName val="ANL PIPA"/>
      <sheetName val="Analisa2"/>
      <sheetName val="DIV 4"/>
      <sheetName val="DIV 5"/>
      <sheetName val="DIV6"/>
      <sheetName val="Anl. Teknik"/>
      <sheetName val="Anl Teknik 2"/>
      <sheetName val="Harga Satuan"/>
      <sheetName val="DAFTAR aLAT"/>
      <sheetName val="Basic Price"/>
      <sheetName val="Mata Utama"/>
      <sheetName val="Personalia"/>
      <sheetName val="Personalia (2)"/>
      <sheetName val="Peralatan"/>
      <sheetName val="Subkontrak"/>
      <sheetName val="MO Site"/>
      <sheetName val="Jdwl Pelksnn"/>
      <sheetName val="Jadwal Alat"/>
      <sheetName val="JP"/>
      <sheetName val="P.Batu"/>
      <sheetName val="P. Aspal"/>
      <sheetName val="Dftr Lmp Pnwr"/>
      <sheetName val="Dftr Simak"/>
      <sheetName val="SBR"/>
      <sheetName val="MPU"/>
    </sheetNames>
    <sheetDataSet>
      <sheetData sheetId="0"/>
      <sheetData sheetId="1"/>
      <sheetData sheetId="2">
        <row r="87">
          <cell r="A87" t="str">
            <v>4.2 (1)</v>
          </cell>
          <cell r="C87" t="str">
            <v>Lapis Pondasi Agregat Kelas A</v>
          </cell>
          <cell r="F87" t="str">
            <v>M3</v>
          </cell>
          <cell r="H87">
            <v>596434.47751322738</v>
          </cell>
          <cell r="I87">
            <v>0</v>
          </cell>
        </row>
        <row r="88">
          <cell r="A88" t="str">
            <v>4.2 (2)</v>
          </cell>
          <cell r="C88" t="str">
            <v>Lapis Pondasi Agregat Kelas B Untuk Bahu Jalan</v>
          </cell>
          <cell r="F88" t="str">
            <v>M3</v>
          </cell>
          <cell r="G88">
            <v>300</v>
          </cell>
          <cell r="H88">
            <v>492700</v>
          </cell>
          <cell r="I88">
            <v>147810000</v>
          </cell>
        </row>
        <row r="89">
          <cell r="A89" t="str">
            <v>4.2 (3)</v>
          </cell>
          <cell r="C89" t="str">
            <v>Lapis Pondasi Semen Tanah</v>
          </cell>
          <cell r="F89" t="str">
            <v>Ton</v>
          </cell>
        </row>
        <row r="90">
          <cell r="A90" t="str">
            <v>4.2 (4)</v>
          </cell>
          <cell r="C90" t="str">
            <v>Semen Untuk Lapis Pondasi Semen Tanah</v>
          </cell>
          <cell r="F90" t="str">
            <v>M3</v>
          </cell>
        </row>
        <row r="91">
          <cell r="A91" t="str">
            <v>4.2 (5)</v>
          </cell>
          <cell r="C91" t="str">
            <v>Laburan Aspal Satu Lapis (BURTU)</v>
          </cell>
          <cell r="F91" t="str">
            <v>M2</v>
          </cell>
        </row>
        <row r="92">
          <cell r="A92" t="str">
            <v>4.2 (6)</v>
          </cell>
          <cell r="C92" t="str">
            <v>Bahan Aspal Untuk Pekerjaan Pelaburan</v>
          </cell>
          <cell r="F92" t="str">
            <v>Liter</v>
          </cell>
          <cell r="G92">
            <v>3000</v>
          </cell>
          <cell r="H92">
            <v>6900</v>
          </cell>
          <cell r="I92">
            <v>20700000</v>
          </cell>
        </row>
        <row r="93">
          <cell r="A93" t="str">
            <v>4.2 (7)</v>
          </cell>
          <cell r="C93" t="str">
            <v>Lapis Resap Pengikat</v>
          </cell>
          <cell r="F93" t="str">
            <v>Liter</v>
          </cell>
          <cell r="H93">
            <v>8729.6330000000016</v>
          </cell>
          <cell r="I93">
            <v>0</v>
          </cell>
        </row>
        <row r="97">
          <cell r="B97" t="str">
            <v>Jumlah Harga Pekerjaan DIVISI 4  (masuk pada Rekapitulasi Perkiraan Harga Pekerjaan)</v>
          </cell>
          <cell r="I97">
            <v>168510000</v>
          </cell>
        </row>
        <row r="100">
          <cell r="D100" t="str">
            <v>DIVISI  5.  PERKERASAN  BERBUTIR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</sheetNames>
    <sheetDataSet>
      <sheetData sheetId="0">
        <row r="13">
          <cell r="H13">
            <v>45</v>
          </cell>
        </row>
        <row r="14">
          <cell r="H14">
            <v>55</v>
          </cell>
        </row>
        <row r="15">
          <cell r="H15">
            <v>30</v>
          </cell>
        </row>
        <row r="16">
          <cell r="H16">
            <v>70</v>
          </cell>
        </row>
        <row r="17">
          <cell r="H17">
            <v>1.8</v>
          </cell>
        </row>
        <row r="18">
          <cell r="H18">
            <v>1.67</v>
          </cell>
        </row>
        <row r="19">
          <cell r="H19">
            <v>1.8</v>
          </cell>
        </row>
        <row r="20">
          <cell r="H20">
            <v>92000</v>
          </cell>
        </row>
      </sheetData>
      <sheetData sheetId="1"/>
      <sheetData sheetId="2"/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ekap Bill"/>
      <sheetName val="Bill"/>
      <sheetName val="Daftar Harga"/>
      <sheetName val="Analisa Harga"/>
      <sheetName val="URAIAN"/>
      <sheetName val="R"/>
      <sheetName val="Schedule"/>
      <sheetName val="Lamp. 1"/>
      <sheetName val="Mat.On.site"/>
      <sheetName val="Lamp. 5"/>
      <sheetName val="Lamp. 6a"/>
      <sheetName val="Lamp. 6b"/>
      <sheetName val="Lamp. 7"/>
      <sheetName val="Lamp. 9 (ECR)"/>
      <sheetName val="Lamp. 9"/>
      <sheetName val="Lamp. 10"/>
      <sheetName val="Lamp. 11"/>
      <sheetName val="Lamp. 12"/>
      <sheetName val="Lamp. 12 (2)"/>
      <sheetName val="Lamp. 13"/>
      <sheetName val="Lamp. 14"/>
      <sheetName val="Surat"/>
      <sheetName val="A,B,C,D,E"/>
      <sheetName val="Neraca"/>
      <sheetName val="F"/>
      <sheetName val="G"/>
      <sheetName val="H"/>
      <sheetName val="I"/>
      <sheetName val="For.1d"/>
      <sheetName val="df-kwalif."/>
    </sheetNames>
    <sheetDataSet>
      <sheetData sheetId="0">
        <row r="2">
          <cell r="B2" t="str">
            <v>Proyek</v>
          </cell>
        </row>
      </sheetData>
      <sheetData sheetId="1"/>
      <sheetData sheetId="2">
        <row r="31">
          <cell r="H31">
            <v>95350000</v>
          </cell>
        </row>
      </sheetData>
      <sheetData sheetId="3">
        <row r="20">
          <cell r="I20">
            <v>6888000</v>
          </cell>
        </row>
        <row r="44">
          <cell r="I44">
            <v>0</v>
          </cell>
        </row>
        <row r="67">
          <cell r="I67">
            <v>6840809.8399999999</v>
          </cell>
        </row>
        <row r="93">
          <cell r="I93">
            <v>0</v>
          </cell>
        </row>
        <row r="103">
          <cell r="I103">
            <v>0</v>
          </cell>
        </row>
        <row r="130">
          <cell r="I130">
            <v>0</v>
          </cell>
        </row>
        <row r="270">
          <cell r="I270">
            <v>72953641.890000001</v>
          </cell>
        </row>
        <row r="327">
          <cell r="I327">
            <v>0</v>
          </cell>
        </row>
        <row r="385">
          <cell r="I385">
            <v>0</v>
          </cell>
        </row>
        <row r="399">
          <cell r="I399">
            <v>0</v>
          </cell>
        </row>
      </sheetData>
      <sheetData sheetId="4">
        <row r="17">
          <cell r="E17" t="str">
            <v>Mandor</v>
          </cell>
        </row>
        <row r="18">
          <cell r="E18" t="str">
            <v>Tukang</v>
          </cell>
        </row>
        <row r="20">
          <cell r="E20" t="str">
            <v>Pekerja</v>
          </cell>
        </row>
      </sheetData>
      <sheetData sheetId="5">
        <row r="99">
          <cell r="K99">
            <v>6888000</v>
          </cell>
        </row>
        <row r="212">
          <cell r="K212">
            <v>475530</v>
          </cell>
        </row>
        <row r="453">
          <cell r="K453">
            <v>52881</v>
          </cell>
        </row>
        <row r="574">
          <cell r="K574">
            <v>2050</v>
          </cell>
        </row>
        <row r="637">
          <cell r="K637">
            <v>255633</v>
          </cell>
        </row>
        <row r="700">
          <cell r="K700">
            <v>328911</v>
          </cell>
        </row>
        <row r="1502">
          <cell r="K1502">
            <v>574598</v>
          </cell>
        </row>
      </sheetData>
      <sheetData sheetId="6">
        <row r="889">
          <cell r="J889">
            <v>2.9629629629629617E-2</v>
          </cell>
        </row>
        <row r="1173">
          <cell r="J1173">
            <v>4.0650406504065045E-3</v>
          </cell>
        </row>
        <row r="1184">
          <cell r="J1184">
            <v>3.0487804878048786E-3</v>
          </cell>
        </row>
        <row r="1204">
          <cell r="J1204">
            <v>5.3353658536585379E-3</v>
          </cell>
        </row>
        <row r="1218">
          <cell r="J1218">
            <v>1.2195121951219514E-2</v>
          </cell>
        </row>
        <row r="1219">
          <cell r="J1219">
            <v>3.0487804878048786E-3</v>
          </cell>
        </row>
        <row r="1641">
          <cell r="J1641">
            <v>5.9259259259259234E-2</v>
          </cell>
        </row>
        <row r="1657">
          <cell r="J1657">
            <v>0.37125925925925929</v>
          </cell>
        </row>
        <row r="1681">
          <cell r="J1681">
            <v>3.518518518518518E-2</v>
          </cell>
        </row>
        <row r="1692">
          <cell r="J1692">
            <v>2.4691358024691357E-2</v>
          </cell>
        </row>
        <row r="1714">
          <cell r="J1714">
            <v>2.3333333333333334E-2</v>
          </cell>
        </row>
        <row r="1787">
          <cell r="J1787">
            <v>2.5679012345679007E-2</v>
          </cell>
        </row>
        <row r="1810">
          <cell r="J1810">
            <v>0.33212121212121209</v>
          </cell>
        </row>
        <row r="1826">
          <cell r="J1826">
            <v>3.518518518518518E-2</v>
          </cell>
        </row>
        <row r="1836">
          <cell r="J1836">
            <v>1.9753086419753086E-2</v>
          </cell>
        </row>
        <row r="1859">
          <cell r="J1859">
            <v>2.3333333333333334E-2</v>
          </cell>
        </row>
        <row r="1927">
          <cell r="J1927">
            <v>1.2</v>
          </cell>
        </row>
        <row r="1942">
          <cell r="J1942">
            <v>2.5679012345679007E-2</v>
          </cell>
        </row>
        <row r="1965">
          <cell r="J1965">
            <v>6.531986531986532E-2</v>
          </cell>
        </row>
        <row r="1981">
          <cell r="J1981">
            <v>2.7777777777777776E-2</v>
          </cell>
        </row>
        <row r="1992">
          <cell r="J1992">
            <v>1.9753086419753086E-2</v>
          </cell>
        </row>
        <row r="2002">
          <cell r="J2002">
            <v>2.3333333333333334E-2</v>
          </cell>
        </row>
        <row r="2027">
          <cell r="J2027">
            <v>0.17975308641975304</v>
          </cell>
        </row>
        <row r="2028">
          <cell r="J2028">
            <v>2.5679012345679004E-2</v>
          </cell>
        </row>
        <row r="2088">
          <cell r="J2088">
            <v>3.3333333333333335E-3</v>
          </cell>
        </row>
        <row r="2096">
          <cell r="J2096">
            <v>3.5714285714285713E-3</v>
          </cell>
        </row>
        <row r="2111">
          <cell r="J2111">
            <v>3.3333333333333335E-3</v>
          </cell>
        </row>
        <row r="3812">
          <cell r="J3812">
            <v>0.875</v>
          </cell>
        </row>
        <row r="3813">
          <cell r="J3813">
            <v>1.75</v>
          </cell>
        </row>
        <row r="3814">
          <cell r="J3814">
            <v>5.25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Anl-2 (2)"/>
      <sheetName val="Anl-2"/>
      <sheetName val="Lbr-Pngs"/>
      <sheetName val="KULIT-1 (2)"/>
      <sheetName val="KULIT-1"/>
      <sheetName val="rab2001"/>
      <sheetName val="rekap"/>
    </sheetNames>
    <sheetDataSet>
      <sheetData sheetId="0">
        <row r="21">
          <cell r="D21">
            <v>57500</v>
          </cell>
        </row>
        <row r="40">
          <cell r="D40">
            <v>5700</v>
          </cell>
        </row>
        <row r="88">
          <cell r="D88">
            <v>48300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 o Q"/>
      <sheetName val="anlsa"/>
      <sheetName val="a-2"/>
      <sheetName val="a-3"/>
      <sheetName val="a-4"/>
      <sheetName val="analisa teknik"/>
      <sheetName val="Upah&amp;Bhn"/>
      <sheetName val="Anl.bahan"/>
      <sheetName val="CURVA S "/>
      <sheetName val="CURVA balok"/>
      <sheetName val="anlsa alat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URAIAN PENGGUNAAN ALAT / ANALISA ALAT</v>
          </cell>
          <cell r="AO1" t="str">
            <v>DAFTAR BIAYA SEWA PERALATAN PER JAM KERJA</v>
          </cell>
          <cell r="BA1" t="str">
            <v>KONFIRMASI KAPASITAS PLANT PEMECAH BATU</v>
          </cell>
        </row>
        <row r="2">
          <cell r="BA2" t="str">
            <v>STONE CRUSHER</v>
          </cell>
        </row>
        <row r="3">
          <cell r="AW3" t="str">
            <v>BIAYA</v>
          </cell>
        </row>
        <row r="4">
          <cell r="A4" t="str">
            <v>No.</v>
          </cell>
          <cell r="C4" t="str">
            <v>U R A I A N</v>
          </cell>
          <cell r="G4" t="str">
            <v>KODE</v>
          </cell>
          <cell r="H4" t="str">
            <v>KOEF.</v>
          </cell>
          <cell r="I4" t="str">
            <v>SATUAN</v>
          </cell>
          <cell r="J4" t="str">
            <v>KET.</v>
          </cell>
          <cell r="AO4" t="str">
            <v>No.</v>
          </cell>
          <cell r="AP4" t="str">
            <v>URAIAN</v>
          </cell>
          <cell r="AR4" t="str">
            <v>KO</v>
          </cell>
          <cell r="AS4" t="str">
            <v>HP</v>
          </cell>
          <cell r="AT4" t="str">
            <v>KAP.</v>
          </cell>
          <cell r="AV4" t="str">
            <v>HARGA</v>
          </cell>
          <cell r="AW4" t="str">
            <v>SEWA</v>
          </cell>
          <cell r="AX4" t="str">
            <v>KET.</v>
          </cell>
        </row>
        <row r="5">
          <cell r="AR5" t="str">
            <v>DE</v>
          </cell>
          <cell r="AV5" t="str">
            <v>ALAT</v>
          </cell>
          <cell r="AW5" t="str">
            <v>ALAT/JAM</v>
          </cell>
          <cell r="BA5" t="str">
            <v>No.</v>
          </cell>
          <cell r="BC5" t="str">
            <v>U R A I A N</v>
          </cell>
          <cell r="BG5" t="str">
            <v>KODE</v>
          </cell>
          <cell r="BH5" t="str">
            <v>KOEF.</v>
          </cell>
          <cell r="BI5" t="str">
            <v>SATUAN</v>
          </cell>
          <cell r="BJ5" t="str">
            <v>KET.</v>
          </cell>
        </row>
        <row r="6">
          <cell r="AW6" t="str">
            <v>(di luar PPN)</v>
          </cell>
        </row>
        <row r="7">
          <cell r="A7" t="str">
            <v>A.</v>
          </cell>
          <cell r="C7" t="str">
            <v>URAIAN PERALATAN</v>
          </cell>
        </row>
        <row r="8">
          <cell r="A8" t="str">
            <v xml:space="preserve">       1.</v>
          </cell>
          <cell r="C8" t="str">
            <v>Jenis Peralatan</v>
          </cell>
          <cell r="G8" t="str">
            <v>ASPHALT MIXING PLANT</v>
          </cell>
          <cell r="J8" t="str">
            <v>E01</v>
          </cell>
          <cell r="AO8" t="str">
            <v>1.</v>
          </cell>
          <cell r="AQ8" t="str">
            <v>ASPHALT MIXING PLANT</v>
          </cell>
          <cell r="AR8" t="str">
            <v>E01</v>
          </cell>
          <cell r="AS8">
            <v>150</v>
          </cell>
          <cell r="AT8">
            <v>50</v>
          </cell>
          <cell r="AU8" t="str">
            <v>T/Jam</v>
          </cell>
          <cell r="AV8">
            <v>1917000000</v>
          </cell>
          <cell r="AW8">
            <v>2557173</v>
          </cell>
          <cell r="AX8" t="str">
            <v xml:space="preserve"> Alat Baru</v>
          </cell>
          <cell r="BA8" t="str">
            <v>I</v>
          </cell>
          <cell r="BC8" t="str">
            <v>BERAT JENIS BAHAN</v>
          </cell>
        </row>
        <row r="9">
          <cell r="A9" t="str">
            <v xml:space="preserve">       2.</v>
          </cell>
          <cell r="C9" t="str">
            <v>Tenaga</v>
          </cell>
          <cell r="G9" t="str">
            <v>Pw</v>
          </cell>
          <cell r="H9">
            <v>150</v>
          </cell>
          <cell r="I9" t="str">
            <v>HP</v>
          </cell>
          <cell r="AO9" t="str">
            <v>2.</v>
          </cell>
          <cell r="AQ9" t="str">
            <v>ASPHALT FINISHER</v>
          </cell>
          <cell r="AR9" t="str">
            <v>E02</v>
          </cell>
          <cell r="AS9">
            <v>47</v>
          </cell>
          <cell r="AT9">
            <v>6</v>
          </cell>
          <cell r="AU9" t="str">
            <v>Ton</v>
          </cell>
          <cell r="AV9">
            <v>402600000.00000006</v>
          </cell>
          <cell r="AW9">
            <v>128461</v>
          </cell>
          <cell r="AX9" t="str">
            <v xml:space="preserve"> Alat Baru</v>
          </cell>
        </row>
        <row r="10">
          <cell r="A10" t="str">
            <v xml:space="preserve">       3.</v>
          </cell>
          <cell r="C10" t="str">
            <v>Kapasitas</v>
          </cell>
          <cell r="G10" t="str">
            <v>Cp</v>
          </cell>
          <cell r="H10">
            <v>50</v>
          </cell>
          <cell r="I10" t="str">
            <v>T/Jam</v>
          </cell>
          <cell r="AO10" t="str">
            <v>3.</v>
          </cell>
          <cell r="AQ10" t="str">
            <v>ASPHALT SPRAYER</v>
          </cell>
          <cell r="AR10" t="str">
            <v>E03</v>
          </cell>
          <cell r="AS10">
            <v>15</v>
          </cell>
          <cell r="AT10">
            <v>800</v>
          </cell>
          <cell r="AU10" t="str">
            <v>Liter</v>
          </cell>
          <cell r="AV10">
            <v>132000000.00000001</v>
          </cell>
          <cell r="AW10">
            <v>53119</v>
          </cell>
          <cell r="AX10" t="str">
            <v xml:space="preserve"> Alat Baru</v>
          </cell>
          <cell r="BA10" t="str">
            <v>1.</v>
          </cell>
          <cell r="BC10" t="str">
            <v>Agregat Base</v>
          </cell>
          <cell r="BG10" t="str">
            <v>D1</v>
          </cell>
          <cell r="BH10">
            <v>2.2000000000000002</v>
          </cell>
          <cell r="BI10" t="str">
            <v>Ton/M3</v>
          </cell>
        </row>
        <row r="11">
          <cell r="A11" t="str">
            <v xml:space="preserve">       4.</v>
          </cell>
          <cell r="C11" t="str">
            <v>Alat Baru              :</v>
          </cell>
          <cell r="D11" t="str">
            <v xml:space="preserve">  a.  Umur Ekonomis</v>
          </cell>
          <cell r="G11" t="str">
            <v>A</v>
          </cell>
          <cell r="H11">
            <v>10</v>
          </cell>
          <cell r="I11" t="str">
            <v>Tahun</v>
          </cell>
          <cell r="AO11" t="str">
            <v>4.</v>
          </cell>
          <cell r="AQ11" t="str">
            <v>BULLDOZER 100-150 HP</v>
          </cell>
          <cell r="AR11" t="str">
            <v>E04</v>
          </cell>
          <cell r="AS11">
            <v>140</v>
          </cell>
          <cell r="AT11" t="str">
            <v xml:space="preserve">          -</v>
          </cell>
          <cell r="AU11" t="str">
            <v/>
          </cell>
          <cell r="AV11">
            <v>1210000000</v>
          </cell>
          <cell r="AW11">
            <v>372059</v>
          </cell>
          <cell r="AX11" t="str">
            <v xml:space="preserve"> Alat Baru</v>
          </cell>
          <cell r="BA11" t="str">
            <v>2.</v>
          </cell>
          <cell r="BC11" t="str">
            <v>ATB / ATBL / AC / HRS</v>
          </cell>
          <cell r="BG11" t="str">
            <v>D2</v>
          </cell>
          <cell r="BH11">
            <v>2.2999999999999998</v>
          </cell>
          <cell r="BI11" t="str">
            <v>Ton/M3</v>
          </cell>
        </row>
        <row r="12">
          <cell r="D12" t="str">
            <v xml:space="preserve">  b.  Jam Kerja Dalam 1 Tahun</v>
          </cell>
          <cell r="G12" t="str">
            <v>W</v>
          </cell>
          <cell r="H12">
            <v>1500</v>
          </cell>
          <cell r="I12" t="str">
            <v>Jam</v>
          </cell>
          <cell r="AO12" t="str">
            <v>5.</v>
          </cell>
          <cell r="AQ12" t="str">
            <v>COMPRESSOR 4000-6500 L\M</v>
          </cell>
          <cell r="AR12" t="str">
            <v>E05</v>
          </cell>
          <cell r="AS12">
            <v>80</v>
          </cell>
          <cell r="AT12" t="str">
            <v xml:space="preserve">          -</v>
          </cell>
          <cell r="AU12" t="str">
            <v/>
          </cell>
          <cell r="AV12">
            <v>85800000</v>
          </cell>
          <cell r="AW12">
            <v>106017</v>
          </cell>
          <cell r="AX12" t="str">
            <v xml:space="preserve"> Alat Baru</v>
          </cell>
          <cell r="BA12" t="str">
            <v>3.</v>
          </cell>
          <cell r="BC12" t="str">
            <v>SBST / DBST</v>
          </cell>
          <cell r="BG12" t="str">
            <v>D3</v>
          </cell>
          <cell r="BH12">
            <v>2</v>
          </cell>
          <cell r="BI12" t="str">
            <v>Ton/M3</v>
          </cell>
        </row>
        <row r="13">
          <cell r="D13" t="str">
            <v xml:space="preserve">  c.  Harga Alat</v>
          </cell>
          <cell r="G13" t="str">
            <v>B</v>
          </cell>
          <cell r="H13">
            <v>1917000000</v>
          </cell>
          <cell r="I13" t="str">
            <v>Rupiah</v>
          </cell>
          <cell r="AO13" t="str">
            <v>6.</v>
          </cell>
          <cell r="AQ13" t="str">
            <v>CONCRETE MIXER 0.3-0.6 M3</v>
          </cell>
          <cell r="AR13" t="str">
            <v>E06</v>
          </cell>
          <cell r="AS13">
            <v>15</v>
          </cell>
          <cell r="AT13">
            <v>500</v>
          </cell>
          <cell r="AU13" t="str">
            <v>Liter</v>
          </cell>
          <cell r="AV13">
            <v>39600000</v>
          </cell>
          <cell r="AW13">
            <v>36723</v>
          </cell>
          <cell r="AX13" t="str">
            <v xml:space="preserve"> Alat Baru</v>
          </cell>
        </row>
        <row r="14">
          <cell r="A14" t="str">
            <v xml:space="preserve">       5.</v>
          </cell>
          <cell r="C14" t="str">
            <v>Alat Yang Dipakai  :</v>
          </cell>
          <cell r="D14" t="str">
            <v xml:space="preserve">  a.  Umur Ekonomis</v>
          </cell>
          <cell r="G14" t="str">
            <v>A'</v>
          </cell>
          <cell r="H14">
            <v>10</v>
          </cell>
          <cell r="I14" t="str">
            <v>Tahun</v>
          </cell>
          <cell r="J14" t="str">
            <v xml:space="preserve"> Alat Baru</v>
          </cell>
          <cell r="AO14" t="str">
            <v>7.</v>
          </cell>
          <cell r="AQ14" t="str">
            <v>CRANE 10-15 TON</v>
          </cell>
          <cell r="AR14" t="str">
            <v>E07</v>
          </cell>
          <cell r="AS14">
            <v>150</v>
          </cell>
          <cell r="AT14">
            <v>15</v>
          </cell>
          <cell r="AU14" t="str">
            <v>Ton</v>
          </cell>
          <cell r="AV14">
            <v>836000000.00000012</v>
          </cell>
          <cell r="AW14">
            <v>311899</v>
          </cell>
          <cell r="AX14" t="str">
            <v xml:space="preserve"> Alat Baru</v>
          </cell>
          <cell r="BA14" t="str">
            <v>II</v>
          </cell>
          <cell r="BC14" t="str">
            <v>TEBAL RATA-RATA HAMPARAN PADAT</v>
          </cell>
        </row>
        <row r="15">
          <cell r="D15" t="str">
            <v xml:space="preserve">  b.  Jam Kerja Dalam 1 Tahun </v>
          </cell>
          <cell r="G15" t="str">
            <v>W'</v>
          </cell>
          <cell r="H15">
            <v>1500</v>
          </cell>
          <cell r="I15" t="str">
            <v>Jam</v>
          </cell>
          <cell r="J15" t="str">
            <v xml:space="preserve"> Alat Baru</v>
          </cell>
          <cell r="AO15" t="str">
            <v>8.</v>
          </cell>
          <cell r="AQ15" t="str">
            <v>DUMP TRUCK 3-4 M3</v>
          </cell>
          <cell r="AR15" t="str">
            <v>E08</v>
          </cell>
          <cell r="AS15">
            <v>100</v>
          </cell>
          <cell r="AT15">
            <v>6</v>
          </cell>
          <cell r="AU15" t="str">
            <v>Ton</v>
          </cell>
          <cell r="AV15">
            <v>209000000.00000003</v>
          </cell>
          <cell r="AW15">
            <v>147873</v>
          </cell>
          <cell r="AX15" t="str">
            <v xml:space="preserve"> Alat Baru</v>
          </cell>
        </row>
        <row r="16">
          <cell r="D16" t="str">
            <v xml:space="preserve">  c.  Harga Alat   (*)</v>
          </cell>
          <cell r="G16" t="str">
            <v>B'</v>
          </cell>
          <cell r="H16">
            <v>1917000000</v>
          </cell>
          <cell r="I16" t="str">
            <v>Rupiah</v>
          </cell>
          <cell r="J16" t="str">
            <v xml:space="preserve"> Alat Baru</v>
          </cell>
          <cell r="AO16" t="str">
            <v>9.</v>
          </cell>
          <cell r="AQ16" t="str">
            <v>DUMP TRUCK</v>
          </cell>
          <cell r="AR16" t="str">
            <v>E09</v>
          </cell>
          <cell r="AS16">
            <v>125</v>
          </cell>
          <cell r="AT16">
            <v>8</v>
          </cell>
          <cell r="AU16" t="str">
            <v>Ton</v>
          </cell>
          <cell r="AV16">
            <v>330000000</v>
          </cell>
          <cell r="AW16">
            <v>194051</v>
          </cell>
          <cell r="AX16" t="str">
            <v xml:space="preserve"> Alat Baru</v>
          </cell>
          <cell r="BA16" t="str">
            <v>1.</v>
          </cell>
          <cell r="BC16" t="str">
            <v>Agregat Base</v>
          </cell>
          <cell r="BG16" t="str">
            <v>t1</v>
          </cell>
          <cell r="BH16">
            <v>0.15</v>
          </cell>
          <cell r="BI16" t="str">
            <v>M</v>
          </cell>
        </row>
        <row r="17">
          <cell r="AO17" t="str">
            <v>10.</v>
          </cell>
          <cell r="AQ17" t="str">
            <v>EXCAVATOR 80-140 HP</v>
          </cell>
          <cell r="AR17" t="str">
            <v>E10</v>
          </cell>
          <cell r="AS17">
            <v>80</v>
          </cell>
          <cell r="AT17">
            <v>0.5</v>
          </cell>
          <cell r="AU17" t="str">
            <v>M3</v>
          </cell>
          <cell r="AV17">
            <v>770000000.00000012</v>
          </cell>
          <cell r="AW17">
            <v>233384</v>
          </cell>
          <cell r="AX17" t="str">
            <v xml:space="preserve"> Alat Baru</v>
          </cell>
          <cell r="BA17" t="str">
            <v>2.</v>
          </cell>
          <cell r="BC17" t="str">
            <v>Asphalt Concrete (AC)</v>
          </cell>
          <cell r="BG17" t="str">
            <v>t2</v>
          </cell>
          <cell r="BH17">
            <v>0.04</v>
          </cell>
          <cell r="BI17" t="str">
            <v>M</v>
          </cell>
        </row>
        <row r="18">
          <cell r="A18" t="str">
            <v>B.</v>
          </cell>
          <cell r="C18" t="str">
            <v>BIAYA PASTI PER JAM KERJA</v>
          </cell>
          <cell r="AO18" t="str">
            <v>11.</v>
          </cell>
          <cell r="AQ18" t="str">
            <v>FLAT BED TRUCK 3-4 M3</v>
          </cell>
          <cell r="AR18" t="str">
            <v>E11</v>
          </cell>
          <cell r="AS18">
            <v>100</v>
          </cell>
          <cell r="AT18">
            <v>4</v>
          </cell>
          <cell r="AU18" t="str">
            <v>M3</v>
          </cell>
          <cell r="AV18">
            <v>165000000</v>
          </cell>
          <cell r="AW18">
            <v>139683</v>
          </cell>
          <cell r="AX18" t="str">
            <v xml:space="preserve"> Alat Baru</v>
          </cell>
          <cell r="BA18" t="str">
            <v>3.</v>
          </cell>
          <cell r="BC18" t="str">
            <v>Hot Rolled Sheet (HRS)</v>
          </cell>
          <cell r="BG18" t="str">
            <v>t3</v>
          </cell>
          <cell r="BH18">
            <v>0.03</v>
          </cell>
          <cell r="BI18" t="str">
            <v>M</v>
          </cell>
        </row>
        <row r="19">
          <cell r="A19" t="str">
            <v xml:space="preserve">       1.</v>
          </cell>
          <cell r="C19" t="str">
            <v>Nilai Sisa Alat</v>
          </cell>
          <cell r="D19" t="str">
            <v>=  10 % x B</v>
          </cell>
          <cell r="G19" t="str">
            <v>C</v>
          </cell>
          <cell r="H19">
            <v>191700000</v>
          </cell>
          <cell r="I19" t="str">
            <v>Rupiah</v>
          </cell>
          <cell r="AO19" t="str">
            <v>12.</v>
          </cell>
          <cell r="AQ19" t="str">
            <v>GENERATOR SET</v>
          </cell>
          <cell r="AR19" t="str">
            <v>E12</v>
          </cell>
          <cell r="AS19">
            <v>175</v>
          </cell>
          <cell r="AT19">
            <v>125</v>
          </cell>
          <cell r="AU19" t="str">
            <v>KVA</v>
          </cell>
          <cell r="AV19">
            <v>140800000</v>
          </cell>
          <cell r="AW19">
            <v>206137</v>
          </cell>
          <cell r="AX19" t="str">
            <v xml:space="preserve"> Alat Baru</v>
          </cell>
          <cell r="BA19" t="str">
            <v>4.</v>
          </cell>
          <cell r="BC19" t="str">
            <v>SBST</v>
          </cell>
          <cell r="BG19" t="str">
            <v>t4</v>
          </cell>
          <cell r="BH19">
            <v>0.02</v>
          </cell>
          <cell r="BI19" t="str">
            <v>M</v>
          </cell>
        </row>
        <row r="20">
          <cell r="AO20" t="str">
            <v>13.</v>
          </cell>
          <cell r="AQ20" t="str">
            <v>MOTOR GRADER &gt;100 HP</v>
          </cell>
          <cell r="AR20" t="str">
            <v>E13</v>
          </cell>
          <cell r="AS20">
            <v>125</v>
          </cell>
          <cell r="AT20" t="str">
            <v xml:space="preserve">          -</v>
          </cell>
          <cell r="AU20" t="str">
            <v/>
          </cell>
          <cell r="AV20">
            <v>660000000</v>
          </cell>
          <cell r="AW20">
            <v>255482</v>
          </cell>
          <cell r="AX20" t="str">
            <v xml:space="preserve"> Alat Baru</v>
          </cell>
          <cell r="BA20" t="str">
            <v>5.</v>
          </cell>
          <cell r="BC20" t="str">
            <v>DBST</v>
          </cell>
          <cell r="BG20" t="str">
            <v>t5</v>
          </cell>
          <cell r="BH20">
            <v>0.03</v>
          </cell>
          <cell r="BI20" t="str">
            <v>M</v>
          </cell>
        </row>
        <row r="21">
          <cell r="A21" t="str">
            <v xml:space="preserve">       2.</v>
          </cell>
          <cell r="C21" t="str">
            <v>Faktor Angsuran Modal    =</v>
          </cell>
          <cell r="E21" t="str">
            <v>i x (1 + i)^A'</v>
          </cell>
          <cell r="G21" t="str">
            <v>D</v>
          </cell>
          <cell r="H21">
            <v>0.23852275688285915</v>
          </cell>
          <cell r="I21" t="str">
            <v>-</v>
          </cell>
          <cell r="AO21" t="str">
            <v>14.</v>
          </cell>
          <cell r="AQ21" t="str">
            <v>TRACK LOADER 75-100 HP</v>
          </cell>
          <cell r="AR21" t="str">
            <v>E14</v>
          </cell>
          <cell r="AS21">
            <v>90</v>
          </cell>
          <cell r="AT21">
            <v>1.6</v>
          </cell>
          <cell r="AU21" t="str">
            <v>M3</v>
          </cell>
          <cell r="AV21">
            <v>623700000</v>
          </cell>
          <cell r="AW21">
            <v>215610</v>
          </cell>
          <cell r="AX21" t="str">
            <v xml:space="preserve"> Alat Baru</v>
          </cell>
        </row>
        <row r="22">
          <cell r="E22" t="str">
            <v>(1 + i)^A' - 1</v>
          </cell>
          <cell r="AO22" t="str">
            <v>15.</v>
          </cell>
          <cell r="AQ22" t="str">
            <v>WHEEL LOADER 1.0-1.6 M3</v>
          </cell>
          <cell r="AR22" t="str">
            <v>E15</v>
          </cell>
          <cell r="AS22">
            <v>105</v>
          </cell>
          <cell r="AT22">
            <v>1.5</v>
          </cell>
          <cell r="AU22" t="str">
            <v>M3</v>
          </cell>
          <cell r="AV22">
            <v>715000000</v>
          </cell>
          <cell r="AW22">
            <v>246798</v>
          </cell>
          <cell r="AX22" t="str">
            <v xml:space="preserve"> Alat Baru</v>
          </cell>
          <cell r="BA22" t="str">
            <v>III</v>
          </cell>
          <cell r="BC22" t="str">
            <v>VOLUME PEKERJAAN</v>
          </cell>
        </row>
        <row r="23">
          <cell r="A23" t="str">
            <v xml:space="preserve">       3.</v>
          </cell>
          <cell r="C23" t="str">
            <v>Biaya Pasti per Jam  :</v>
          </cell>
          <cell r="AO23" t="str">
            <v>16.</v>
          </cell>
          <cell r="AQ23" t="str">
            <v>THREE WHEEL ROLLER 6-8 T</v>
          </cell>
          <cell r="AR23" t="str">
            <v>E16</v>
          </cell>
          <cell r="AS23">
            <v>55</v>
          </cell>
          <cell r="AT23">
            <v>8</v>
          </cell>
          <cell r="AU23" t="str">
            <v>Ton</v>
          </cell>
          <cell r="AV23">
            <v>264000000.00000003</v>
          </cell>
          <cell r="AW23">
            <v>115536</v>
          </cell>
          <cell r="AX23" t="str">
            <v xml:space="preserve"> Alat Baru</v>
          </cell>
        </row>
        <row r="24">
          <cell r="C24" t="str">
            <v>a.  Biaya Pengembalian Modal  =</v>
          </cell>
          <cell r="E24" t="str">
            <v>( B' - C ) x D</v>
          </cell>
          <cell r="G24" t="str">
            <v>E</v>
          </cell>
          <cell r="H24">
            <v>274348.87496666459</v>
          </cell>
          <cell r="I24" t="str">
            <v>Rupiah</v>
          </cell>
          <cell r="AO24" t="str">
            <v>17.</v>
          </cell>
          <cell r="AQ24" t="str">
            <v>TANDEM ROLLER 6-8 T.</v>
          </cell>
          <cell r="AR24" t="str">
            <v>E17</v>
          </cell>
          <cell r="AS24">
            <v>50</v>
          </cell>
          <cell r="AT24">
            <v>8</v>
          </cell>
          <cell r="AU24" t="str">
            <v>Ton</v>
          </cell>
          <cell r="AV24">
            <v>366300000</v>
          </cell>
          <cell r="AW24">
            <v>129849</v>
          </cell>
          <cell r="AX24" t="str">
            <v xml:space="preserve"> Alat Baru</v>
          </cell>
          <cell r="BA24" t="str">
            <v>1.</v>
          </cell>
          <cell r="BC24" t="str">
            <v>Agregat Kelas A</v>
          </cell>
          <cell r="BG24" t="str">
            <v>v1</v>
          </cell>
          <cell r="BH24">
            <v>0</v>
          </cell>
          <cell r="BI24" t="str">
            <v>M3</v>
          </cell>
        </row>
        <row r="25">
          <cell r="E25" t="str">
            <v>W'</v>
          </cell>
          <cell r="AO25" t="str">
            <v>18.</v>
          </cell>
          <cell r="AQ25" t="str">
            <v>TIRE ROLLER 8-10 T.</v>
          </cell>
          <cell r="AR25" t="str">
            <v>E18</v>
          </cell>
          <cell r="AS25">
            <v>60</v>
          </cell>
          <cell r="AT25">
            <v>10</v>
          </cell>
          <cell r="AU25" t="str">
            <v>Ton</v>
          </cell>
          <cell r="AV25">
            <v>386100000.00000006</v>
          </cell>
          <cell r="AW25">
            <v>150982</v>
          </cell>
          <cell r="AX25" t="str">
            <v xml:space="preserve"> Alat Baru</v>
          </cell>
          <cell r="BA25" t="str">
            <v>2.</v>
          </cell>
          <cell r="BC25" t="str">
            <v>Agregat Kelas B</v>
          </cell>
          <cell r="BG25" t="str">
            <v>v2</v>
          </cell>
          <cell r="BH25">
            <v>0</v>
          </cell>
          <cell r="BI25" t="str">
            <v>M3</v>
          </cell>
        </row>
        <row r="26">
          <cell r="AO26" t="str">
            <v>19.</v>
          </cell>
          <cell r="AQ26" t="str">
            <v>VIBRATORY ROLLER 5-8 T.</v>
          </cell>
          <cell r="AR26" t="str">
            <v>E19</v>
          </cell>
          <cell r="AS26">
            <v>75</v>
          </cell>
          <cell r="AT26">
            <v>7</v>
          </cell>
          <cell r="AU26" t="str">
            <v>Ton</v>
          </cell>
          <cell r="AV26">
            <v>431200000.00000006</v>
          </cell>
          <cell r="AW26">
            <v>174347</v>
          </cell>
          <cell r="AX26" t="str">
            <v xml:space="preserve"> Alat Baru</v>
          </cell>
          <cell r="BA26" t="str">
            <v>3.</v>
          </cell>
          <cell r="BC26" t="str">
            <v>ATB</v>
          </cell>
          <cell r="BG26" t="str">
            <v>v3</v>
          </cell>
          <cell r="BH26" t="e">
            <v>#REF!</v>
          </cell>
          <cell r="BI26" t="str">
            <v>M3</v>
          </cell>
        </row>
        <row r="27">
          <cell r="C27" t="str">
            <v>b.  Asuransi, dll =</v>
          </cell>
          <cell r="D27">
            <v>2E-3</v>
          </cell>
          <cell r="E27" t="str">
            <v xml:space="preserve">  x   B'</v>
          </cell>
          <cell r="G27" t="str">
            <v>F</v>
          </cell>
          <cell r="H27">
            <v>2556</v>
          </cell>
          <cell r="I27" t="str">
            <v>Rupiah</v>
          </cell>
          <cell r="AO27" t="str">
            <v>20.</v>
          </cell>
          <cell r="AQ27" t="str">
            <v>CONCRETE VIBRATOR</v>
          </cell>
          <cell r="AR27" t="str">
            <v>E20</v>
          </cell>
          <cell r="AS27">
            <v>10</v>
          </cell>
          <cell r="AT27" t="str">
            <v xml:space="preserve">          -</v>
          </cell>
          <cell r="AU27" t="str">
            <v/>
          </cell>
          <cell r="AV27">
            <v>21120000</v>
          </cell>
          <cell r="AW27">
            <v>32537</v>
          </cell>
          <cell r="AX27" t="str">
            <v xml:space="preserve"> Alat Baru</v>
          </cell>
          <cell r="BA27" t="str">
            <v>4.</v>
          </cell>
          <cell r="BC27" t="str">
            <v>ATBL</v>
          </cell>
          <cell r="BG27" t="str">
            <v>v4</v>
          </cell>
          <cell r="BH27" t="e">
            <v>#REF!</v>
          </cell>
          <cell r="BI27" t="str">
            <v>Ton</v>
          </cell>
        </row>
        <row r="28">
          <cell r="E28" t="str">
            <v>W'</v>
          </cell>
          <cell r="AO28" t="str">
            <v>21.</v>
          </cell>
          <cell r="AQ28" t="str">
            <v>STONE CRUSHER</v>
          </cell>
          <cell r="AR28" t="str">
            <v>E21</v>
          </cell>
          <cell r="AS28">
            <v>220</v>
          </cell>
          <cell r="AT28">
            <v>30</v>
          </cell>
          <cell r="AU28" t="str">
            <v>T/Jam</v>
          </cell>
          <cell r="AV28">
            <v>693000000</v>
          </cell>
          <cell r="AW28">
            <v>357162</v>
          </cell>
          <cell r="AX28" t="str">
            <v xml:space="preserve"> Alat Baru</v>
          </cell>
          <cell r="BA28" t="str">
            <v>5.</v>
          </cell>
          <cell r="BC28" t="str">
            <v>AC</v>
          </cell>
          <cell r="BG28" t="str">
            <v>v5</v>
          </cell>
          <cell r="BH28" t="e">
            <v>#REF!</v>
          </cell>
          <cell r="BI28" t="str">
            <v>M2</v>
          </cell>
        </row>
        <row r="29">
          <cell r="AO29" t="str">
            <v>22.</v>
          </cell>
          <cell r="AQ29" t="str">
            <v>WATER PUMP 70-100 mm</v>
          </cell>
          <cell r="AR29" t="str">
            <v>E22</v>
          </cell>
          <cell r="AS29">
            <v>6</v>
          </cell>
          <cell r="AT29" t="str">
            <v xml:space="preserve">          -</v>
          </cell>
          <cell r="AU29" t="str">
            <v/>
          </cell>
          <cell r="AV29">
            <v>19800000</v>
          </cell>
          <cell r="AW29">
            <v>26199</v>
          </cell>
          <cell r="AX29" t="str">
            <v xml:space="preserve"> Alat Baru</v>
          </cell>
          <cell r="BA29" t="str">
            <v>6.</v>
          </cell>
          <cell r="BC29" t="str">
            <v>HRS</v>
          </cell>
          <cell r="BG29" t="str">
            <v>v6</v>
          </cell>
          <cell r="BH29" t="e">
            <v>#REF!</v>
          </cell>
          <cell r="BI29" t="str">
            <v>M2</v>
          </cell>
        </row>
        <row r="30">
          <cell r="C30" t="str">
            <v>Biaya Pasti per Jam             =</v>
          </cell>
          <cell r="E30" t="str">
            <v>( E + F )</v>
          </cell>
          <cell r="G30" t="str">
            <v>G</v>
          </cell>
          <cell r="H30">
            <v>276904.87496666459</v>
          </cell>
          <cell r="I30" t="str">
            <v>Rupiah</v>
          </cell>
          <cell r="AO30" t="str">
            <v>23.</v>
          </cell>
          <cell r="AQ30" t="str">
            <v>WATER TANKER 3000-4500 L.</v>
          </cell>
          <cell r="AR30" t="str">
            <v>E23</v>
          </cell>
          <cell r="AS30">
            <v>100</v>
          </cell>
          <cell r="AT30">
            <v>4000</v>
          </cell>
          <cell r="AU30" t="str">
            <v>Liter</v>
          </cell>
          <cell r="AV30">
            <v>145200000</v>
          </cell>
          <cell r="AW30">
            <v>135997</v>
          </cell>
          <cell r="AX30" t="str">
            <v xml:space="preserve"> Alat Baru</v>
          </cell>
          <cell r="BA30" t="str">
            <v>7.</v>
          </cell>
          <cell r="BC30" t="str">
            <v>SBST</v>
          </cell>
          <cell r="BG30" t="str">
            <v>v7</v>
          </cell>
          <cell r="BH30" t="e">
            <v>#REF!</v>
          </cell>
          <cell r="BI30" t="str">
            <v>M2</v>
          </cell>
        </row>
        <row r="31">
          <cell r="AO31" t="str">
            <v>24.</v>
          </cell>
          <cell r="AQ31" t="str">
            <v>PEDESTRIAN ROLLER</v>
          </cell>
          <cell r="AR31" t="str">
            <v>E24</v>
          </cell>
          <cell r="AS31">
            <v>11</v>
          </cell>
          <cell r="AT31">
            <v>0.98</v>
          </cell>
          <cell r="AU31" t="str">
            <v>Ton</v>
          </cell>
          <cell r="AV31">
            <v>77000000</v>
          </cell>
          <cell r="AW31">
            <v>40661</v>
          </cell>
          <cell r="AX31" t="str">
            <v xml:space="preserve"> Alat Baru</v>
          </cell>
          <cell r="BA31" t="str">
            <v>8.</v>
          </cell>
          <cell r="BC31" t="str">
            <v>DBST</v>
          </cell>
          <cell r="BG31" t="str">
            <v>v8</v>
          </cell>
          <cell r="BH31" t="e">
            <v>#REF!</v>
          </cell>
          <cell r="BI31" t="str">
            <v>M2</v>
          </cell>
        </row>
        <row r="32">
          <cell r="A32" t="str">
            <v>C.</v>
          </cell>
          <cell r="C32" t="str">
            <v>BIAYA OPERASI PER JAM KERJA</v>
          </cell>
          <cell r="AO32" t="str">
            <v>25.</v>
          </cell>
          <cell r="AQ32" t="str">
            <v>TAMPER</v>
          </cell>
          <cell r="AR32" t="str">
            <v>E25</v>
          </cell>
          <cell r="AS32">
            <v>5</v>
          </cell>
          <cell r="AT32">
            <v>0.17</v>
          </cell>
          <cell r="AU32" t="str">
            <v>Ton</v>
          </cell>
          <cell r="AV32">
            <v>29150000.000000004</v>
          </cell>
          <cell r="AW32">
            <v>31123</v>
          </cell>
          <cell r="AX32" t="str">
            <v xml:space="preserve"> Alat Baru</v>
          </cell>
        </row>
        <row r="33">
          <cell r="AO33" t="str">
            <v>26.</v>
          </cell>
          <cell r="AQ33" t="str">
            <v>JACK HAMMER</v>
          </cell>
          <cell r="AR33" t="str">
            <v>E26</v>
          </cell>
          <cell r="AS33">
            <v>3</v>
          </cell>
          <cell r="AT33" t="str">
            <v xml:space="preserve">          -</v>
          </cell>
          <cell r="AU33" t="str">
            <v/>
          </cell>
          <cell r="AV33">
            <v>29150000.000000004</v>
          </cell>
          <cell r="AW33">
            <v>29230</v>
          </cell>
          <cell r="AX33" t="str">
            <v xml:space="preserve"> Alat Baru</v>
          </cell>
          <cell r="BA33" t="str">
            <v>IV</v>
          </cell>
          <cell r="BC33" t="str">
            <v>VOLUME PEKERJAAN ALAT</v>
          </cell>
        </row>
        <row r="34">
          <cell r="A34" t="str">
            <v xml:space="preserve">       1.</v>
          </cell>
          <cell r="C34" t="str">
            <v xml:space="preserve">Bahan Bakar  =  (0.125-0.175 Ltr/HP/Jam)   x Pw x Ms </v>
          </cell>
          <cell r="G34" t="str">
            <v>H1</v>
          </cell>
          <cell r="H34">
            <v>103125</v>
          </cell>
          <cell r="I34" t="str">
            <v>Rupiah</v>
          </cell>
          <cell r="AO34" t="str">
            <v>27.</v>
          </cell>
          <cell r="AQ34" t="str">
            <v>FULVI MIXER</v>
          </cell>
          <cell r="AR34" t="str">
            <v>E27</v>
          </cell>
          <cell r="AS34">
            <v>75</v>
          </cell>
          <cell r="AT34" t="str">
            <v xml:space="preserve">          -</v>
          </cell>
          <cell r="AU34" t="str">
            <v/>
          </cell>
          <cell r="AV34">
            <v>159500000</v>
          </cell>
          <cell r="AW34">
            <v>115006</v>
          </cell>
          <cell r="AX34" t="str">
            <v xml:space="preserve"> Alat Baru</v>
          </cell>
        </row>
        <row r="35">
          <cell r="C35" t="str">
            <v>Bahan Bakar Pemanasan Material</v>
          </cell>
          <cell r="E35" t="str">
            <v>= 12 x 0.7Cp x Ms</v>
          </cell>
          <cell r="G35" t="str">
            <v>H2</v>
          </cell>
          <cell r="H35">
            <v>2310000</v>
          </cell>
          <cell r="I35" t="str">
            <v>Rupiah</v>
          </cell>
          <cell r="J35" t="str">
            <v xml:space="preserve"> Khusus AMP</v>
          </cell>
          <cell r="AO35" t="str">
            <v>28.</v>
          </cell>
          <cell r="AQ35" t="str">
            <v>CONCRETE PUMP</v>
          </cell>
          <cell r="AR35" t="str">
            <v>E28</v>
          </cell>
          <cell r="AS35">
            <v>100</v>
          </cell>
          <cell r="AT35">
            <v>8</v>
          </cell>
          <cell r="AU35" t="str">
            <v>M3</v>
          </cell>
          <cell r="AV35">
            <v>176000000</v>
          </cell>
          <cell r="AW35">
            <v>139410</v>
          </cell>
          <cell r="AX35" t="str">
            <v xml:space="preserve"> Alat Baru</v>
          </cell>
          <cell r="BA35" t="str">
            <v>1.</v>
          </cell>
          <cell r="BC35" t="str">
            <v>Agregat Kelas A</v>
          </cell>
          <cell r="BD35" t="str">
            <v>=  v1 x D1 x 80% x 1.05</v>
          </cell>
          <cell r="BG35" t="str">
            <v>w1</v>
          </cell>
          <cell r="BH35">
            <v>0</v>
          </cell>
          <cell r="BI35" t="str">
            <v>Ton</v>
          </cell>
        </row>
        <row r="36">
          <cell r="AO36" t="str">
            <v>29.</v>
          </cell>
          <cell r="AQ36" t="str">
            <v>TRAILER 20 TON</v>
          </cell>
          <cell r="AR36" t="str">
            <v>E29</v>
          </cell>
          <cell r="AS36">
            <v>175</v>
          </cell>
          <cell r="AT36">
            <v>20</v>
          </cell>
          <cell r="AU36" t="str">
            <v>Ton</v>
          </cell>
          <cell r="AV36">
            <v>337427050</v>
          </cell>
          <cell r="AW36">
            <v>237828</v>
          </cell>
          <cell r="AX36" t="str">
            <v xml:space="preserve"> Alat Baru</v>
          </cell>
          <cell r="BA36" t="str">
            <v>2.</v>
          </cell>
          <cell r="BC36" t="str">
            <v>Agregat Kelas B</v>
          </cell>
          <cell r="BD36" t="str">
            <v>=  v2 x D1 x 80% x 1.05</v>
          </cell>
          <cell r="BG36" t="str">
            <v>w2</v>
          </cell>
          <cell r="BH36">
            <v>0</v>
          </cell>
          <cell r="BI36" t="str">
            <v>Ton</v>
          </cell>
        </row>
        <row r="37">
          <cell r="A37" t="str">
            <v xml:space="preserve">       2.</v>
          </cell>
          <cell r="C37" t="str">
            <v>Pelumas         =  (0.01-0.02 Ltr/HP/Jam) x Pw x Mp</v>
          </cell>
          <cell r="G37" t="str">
            <v>I</v>
          </cell>
          <cell r="H37">
            <v>60000</v>
          </cell>
          <cell r="I37" t="str">
            <v>Rupiah</v>
          </cell>
          <cell r="AO37" t="str">
            <v>30.</v>
          </cell>
          <cell r="AQ37" t="str">
            <v>PILE DRIVER + HAMMER</v>
          </cell>
          <cell r="AR37" t="str">
            <v>E30</v>
          </cell>
          <cell r="AS37">
            <v>25</v>
          </cell>
          <cell r="AT37">
            <v>2.5</v>
          </cell>
          <cell r="AU37" t="str">
            <v>Ton</v>
          </cell>
          <cell r="AV37">
            <v>122100000.00000001</v>
          </cell>
          <cell r="AW37">
            <v>60737</v>
          </cell>
          <cell r="AX37" t="str">
            <v xml:space="preserve"> Alat Baru</v>
          </cell>
          <cell r="BA37" t="str">
            <v>3.</v>
          </cell>
          <cell r="BC37" t="str">
            <v>ATB</v>
          </cell>
          <cell r="BD37" t="str">
            <v>=  v3 x D2 x 1.05</v>
          </cell>
          <cell r="BG37" t="str">
            <v>w3</v>
          </cell>
          <cell r="BH37" t="e">
            <v>#REF!</v>
          </cell>
          <cell r="BI37" t="str">
            <v>Ton</v>
          </cell>
        </row>
        <row r="38">
          <cell r="AO38" t="str">
            <v>31.</v>
          </cell>
          <cell r="AQ38" t="str">
            <v>CRANE ON TRACK 35 TON</v>
          </cell>
          <cell r="AR38" t="str">
            <v>E31</v>
          </cell>
          <cell r="AS38">
            <v>125</v>
          </cell>
          <cell r="AT38">
            <v>35</v>
          </cell>
          <cell r="AU38" t="str">
            <v>Ton</v>
          </cell>
          <cell r="AV38">
            <v>1000000000</v>
          </cell>
          <cell r="AW38">
            <v>305591</v>
          </cell>
          <cell r="AX38" t="str">
            <v xml:space="preserve"> Alat Baru</v>
          </cell>
          <cell r="BA38" t="str">
            <v>4.</v>
          </cell>
          <cell r="BC38" t="str">
            <v>ATBL</v>
          </cell>
          <cell r="BD38" t="str">
            <v>=  v4 x 1.05</v>
          </cell>
          <cell r="BG38" t="str">
            <v>w4</v>
          </cell>
          <cell r="BH38" t="e">
            <v>#REF!</v>
          </cell>
          <cell r="BI38" t="str">
            <v>Ton</v>
          </cell>
        </row>
        <row r="39">
          <cell r="A39" t="str">
            <v xml:space="preserve">       3.</v>
          </cell>
          <cell r="C39" t="str">
            <v>Perawatan dan     =</v>
          </cell>
          <cell r="D39" t="str">
            <v>(12,5 % - 17,5 %)  x  B'</v>
          </cell>
          <cell r="G39" t="str">
            <v>K</v>
          </cell>
          <cell r="H39">
            <v>159750</v>
          </cell>
          <cell r="I39" t="str">
            <v>Rupiah</v>
          </cell>
          <cell r="AO39" t="str">
            <v>32.</v>
          </cell>
          <cell r="AQ39" t="str">
            <v>WELDING SET</v>
          </cell>
          <cell r="AR39" t="str">
            <v>E32</v>
          </cell>
          <cell r="AS39">
            <v>40</v>
          </cell>
          <cell r="AT39">
            <v>250</v>
          </cell>
          <cell r="AU39" t="str">
            <v>Amp</v>
          </cell>
          <cell r="AV39">
            <v>23100000.000000004</v>
          </cell>
          <cell r="AW39">
            <v>56500</v>
          </cell>
          <cell r="AX39" t="str">
            <v xml:space="preserve"> Alat Baru</v>
          </cell>
          <cell r="BA39" t="str">
            <v>5.</v>
          </cell>
          <cell r="BC39" t="str">
            <v>AC</v>
          </cell>
          <cell r="BD39" t="str">
            <v>=  v5 x t2 x D2 x 1.05</v>
          </cell>
          <cell r="BG39" t="str">
            <v>w5</v>
          </cell>
          <cell r="BH39" t="e">
            <v>#REF!</v>
          </cell>
          <cell r="BI39" t="str">
            <v>Ton</v>
          </cell>
        </row>
        <row r="40">
          <cell r="C40" t="str">
            <v xml:space="preserve">        perbaikan</v>
          </cell>
          <cell r="D40" t="str">
            <v>W'</v>
          </cell>
          <cell r="AO40" t="str">
            <v>33.</v>
          </cell>
          <cell r="AQ40" t="str">
            <v>BORE PILE MACHINE</v>
          </cell>
          <cell r="AR40" t="str">
            <v>E33</v>
          </cell>
          <cell r="AS40">
            <v>150</v>
          </cell>
          <cell r="AT40">
            <v>2000</v>
          </cell>
          <cell r="AU40" t="str">
            <v>Meter</v>
          </cell>
          <cell r="AV40">
            <v>2250000000</v>
          </cell>
          <cell r="AW40">
            <v>545459</v>
          </cell>
          <cell r="AX40" t="str">
            <v xml:space="preserve"> Alat Baru</v>
          </cell>
          <cell r="BA40" t="str">
            <v>6.</v>
          </cell>
          <cell r="BC40" t="str">
            <v>HRS</v>
          </cell>
          <cell r="BD40" t="str">
            <v>=  v6 x t3 x D2 x 1.05</v>
          </cell>
          <cell r="BG40" t="str">
            <v>w6</v>
          </cell>
          <cell r="BH40" t="e">
            <v>#REF!</v>
          </cell>
          <cell r="BI40" t="str">
            <v>Ton</v>
          </cell>
        </row>
        <row r="41">
          <cell r="A41" t="str">
            <v xml:space="preserve">       4.</v>
          </cell>
          <cell r="C41" t="str">
            <v>Operator</v>
          </cell>
          <cell r="D41" t="str">
            <v>=   ( 1  Orang / Jam )  x  U1</v>
          </cell>
          <cell r="G41" t="str">
            <v>L</v>
          </cell>
          <cell r="H41">
            <v>10000</v>
          </cell>
          <cell r="I41" t="str">
            <v>Rupiah</v>
          </cell>
          <cell r="AO41" t="str">
            <v>34.</v>
          </cell>
          <cell r="AQ41" t="str">
            <v>ASPHALT LIQUID MIXER</v>
          </cell>
          <cell r="AR41" t="str">
            <v>E34</v>
          </cell>
          <cell r="AS41">
            <v>5</v>
          </cell>
          <cell r="AT41">
            <v>1000</v>
          </cell>
          <cell r="AU41" t="str">
            <v>Liter</v>
          </cell>
          <cell r="AV41">
            <v>16500000.000000002</v>
          </cell>
          <cell r="AW41">
            <v>22492</v>
          </cell>
          <cell r="AX41" t="str">
            <v xml:space="preserve"> Alat Baru</v>
          </cell>
          <cell r="BA41" t="str">
            <v>7.</v>
          </cell>
          <cell r="BC41" t="str">
            <v>SBST</v>
          </cell>
          <cell r="BD41" t="str">
            <v>=  v7 x t4 x D3 x 1.05</v>
          </cell>
          <cell r="BG41" t="str">
            <v>w7</v>
          </cell>
          <cell r="BH41" t="e">
            <v>#REF!</v>
          </cell>
          <cell r="BI41" t="str">
            <v>Ton</v>
          </cell>
        </row>
        <row r="42">
          <cell r="A42" t="str">
            <v xml:space="preserve">       5.</v>
          </cell>
          <cell r="C42" t="str">
            <v>Pembantu Operator</v>
          </cell>
          <cell r="D42" t="str">
            <v>=   ( 3  Orang / Jam )  x  U2</v>
          </cell>
          <cell r="G42" t="str">
            <v>M</v>
          </cell>
          <cell r="H42">
            <v>19500</v>
          </cell>
          <cell r="I42" t="str">
            <v>Rupiah</v>
          </cell>
          <cell r="AO42" t="str">
            <v>35.</v>
          </cell>
          <cell r="AQ42" t="str">
            <v>TRAILLER 15 TON</v>
          </cell>
          <cell r="AR42" t="str">
            <v>E35</v>
          </cell>
          <cell r="AS42">
            <v>150</v>
          </cell>
          <cell r="AT42">
            <v>15</v>
          </cell>
          <cell r="AU42" t="str">
            <v>Ton</v>
          </cell>
          <cell r="AV42">
            <v>276000000</v>
          </cell>
          <cell r="AW42">
            <v>210968</v>
          </cell>
          <cell r="AX42" t="str">
            <v xml:space="preserve"> Alat Baru</v>
          </cell>
          <cell r="BA42" t="str">
            <v>8.</v>
          </cell>
          <cell r="BC42" t="str">
            <v>DBST</v>
          </cell>
          <cell r="BD42" t="str">
            <v>=  v8 x t4 x D3 x 1.05</v>
          </cell>
          <cell r="BG42" t="str">
            <v>w8</v>
          </cell>
          <cell r="BH42" t="e">
            <v>#REF!</v>
          </cell>
          <cell r="BI42" t="str">
            <v>Ton</v>
          </cell>
        </row>
        <row r="43">
          <cell r="AO43" t="str">
            <v>36.</v>
          </cell>
          <cell r="AQ43" t="str">
            <v>GRASS CUTTER</v>
          </cell>
          <cell r="AR43" t="str">
            <v>E36</v>
          </cell>
          <cell r="AS43">
            <v>3</v>
          </cell>
          <cell r="AT43">
            <v>32</v>
          </cell>
          <cell r="AU43" t="str">
            <v>cc</v>
          </cell>
          <cell r="AV43">
            <v>3000000</v>
          </cell>
          <cell r="AW43">
            <v>18283</v>
          </cell>
          <cell r="AX43" t="str">
            <v xml:space="preserve"> Alat Baru</v>
          </cell>
        </row>
        <row r="44">
          <cell r="C44" t="str">
            <v>Biaya Operasi per Jam        =</v>
          </cell>
          <cell r="E44" t="str">
            <v>(H+I+K+L+M)</v>
          </cell>
          <cell r="G44" t="str">
            <v>P</v>
          </cell>
          <cell r="H44">
            <v>2662375</v>
          </cell>
          <cell r="I44" t="str">
            <v>Rupiah</v>
          </cell>
          <cell r="AO44" t="str">
            <v>37.</v>
          </cell>
          <cell r="AQ44" t="str">
            <v>JUMBO BREAKER 80-140 HP</v>
          </cell>
          <cell r="AR44" t="str">
            <v>E37</v>
          </cell>
          <cell r="AS44">
            <v>80</v>
          </cell>
          <cell r="AT44">
            <v>0.5</v>
          </cell>
          <cell r="AU44" t="str">
            <v>M3</v>
          </cell>
          <cell r="AV44">
            <v>770000000.00000012</v>
          </cell>
          <cell r="AW44">
            <v>235740</v>
          </cell>
          <cell r="AX44" t="str">
            <v xml:space="preserve"> Alat Baru</v>
          </cell>
          <cell r="BC44" t="str">
            <v>Total Volume Pekerjaan Alat</v>
          </cell>
          <cell r="BE44" t="str">
            <v>=  w1 + . . . + w8</v>
          </cell>
          <cell r="BG44" t="str">
            <v>W</v>
          </cell>
          <cell r="BH44" t="e">
            <v>#REF!</v>
          </cell>
          <cell r="BI44" t="str">
            <v>Ton</v>
          </cell>
        </row>
        <row r="46">
          <cell r="A46" t="str">
            <v>D.</v>
          </cell>
          <cell r="C46" t="str">
            <v>TOTAL BIAYA SEWA ALAT / JAM   =  ( G + P )</v>
          </cell>
          <cell r="G46" t="str">
            <v>T</v>
          </cell>
          <cell r="H46">
            <v>2939279.8749666647</v>
          </cell>
          <cell r="I46" t="str">
            <v>Rupiah</v>
          </cell>
          <cell r="BA46" t="str">
            <v>V</v>
          </cell>
          <cell r="BC46" t="str">
            <v>PERHITUNGAN KAPASITAS ALAT</v>
          </cell>
        </row>
        <row r="47">
          <cell r="BA47" t="str">
            <v>1.</v>
          </cell>
          <cell r="BC47" t="str">
            <v>Masa Mobilisasi / Demobilisasi</v>
          </cell>
          <cell r="BG47" t="str">
            <v>Tm</v>
          </cell>
          <cell r="BH47">
            <v>3</v>
          </cell>
          <cell r="BI47" t="str">
            <v>Bulan</v>
          </cell>
        </row>
        <row r="48">
          <cell r="BA48" t="str">
            <v>2.</v>
          </cell>
          <cell r="BC48" t="str">
            <v>Waktu Produksi (Di luar masa Mobilisasi &amp; Hari Libur)</v>
          </cell>
          <cell r="BG48" t="str">
            <v>T</v>
          </cell>
          <cell r="BH48">
            <v>3.3333333333333335</v>
          </cell>
          <cell r="BI48" t="str">
            <v>Bulan</v>
          </cell>
        </row>
        <row r="49">
          <cell r="A49" t="str">
            <v>E.</v>
          </cell>
          <cell r="C49" t="str">
            <v>LAIN - LAIN</v>
          </cell>
          <cell r="BA49" t="str">
            <v>3.</v>
          </cell>
          <cell r="BC49" t="str">
            <v>Jumlah hari kerja efektif / bulan</v>
          </cell>
          <cell r="BG49" t="str">
            <v>Te1</v>
          </cell>
          <cell r="BH49">
            <v>25</v>
          </cell>
          <cell r="BI49" t="str">
            <v>Hari/Bln</v>
          </cell>
        </row>
        <row r="50">
          <cell r="A50" t="str">
            <v xml:space="preserve">       1.</v>
          </cell>
          <cell r="C50" t="str">
            <v>Tingkat Suku Bunga</v>
          </cell>
          <cell r="G50" t="str">
            <v>i</v>
          </cell>
          <cell r="H50">
            <v>20</v>
          </cell>
          <cell r="I50" t="str">
            <v>% / Tahun</v>
          </cell>
          <cell r="BA50" t="str">
            <v>4.</v>
          </cell>
          <cell r="BC50" t="str">
            <v>Jumlah jam kerja efektif / hari</v>
          </cell>
          <cell r="BG50" t="str">
            <v>Te2</v>
          </cell>
          <cell r="BH50">
            <v>7</v>
          </cell>
          <cell r="BI50" t="str">
            <v>Jam/Hari</v>
          </cell>
        </row>
        <row r="51">
          <cell r="A51" t="str">
            <v xml:space="preserve">       2.</v>
          </cell>
          <cell r="C51" t="str">
            <v>Upah Operator / Sopir</v>
          </cell>
          <cell r="G51" t="str">
            <v>U1</v>
          </cell>
          <cell r="H51">
            <v>10000</v>
          </cell>
          <cell r="I51" t="str">
            <v>Rp./Jam</v>
          </cell>
          <cell r="BA51" t="str">
            <v>5.</v>
          </cell>
          <cell r="BC51" t="str">
            <v>Faktor efisiensi alat</v>
          </cell>
          <cell r="BG51" t="str">
            <v>Fa</v>
          </cell>
          <cell r="BH51">
            <v>0.7</v>
          </cell>
          <cell r="BI51" t="str">
            <v>-</v>
          </cell>
        </row>
        <row r="52">
          <cell r="A52" t="str">
            <v xml:space="preserve">       3.</v>
          </cell>
          <cell r="C52" t="str">
            <v>Upah Pembantu Operator / Pmb.Sopir</v>
          </cell>
          <cell r="G52" t="str">
            <v>U2</v>
          </cell>
          <cell r="H52">
            <v>6500</v>
          </cell>
          <cell r="I52" t="str">
            <v>Rp./Jam</v>
          </cell>
        </row>
        <row r="53">
          <cell r="A53" t="str">
            <v xml:space="preserve">       4.</v>
          </cell>
          <cell r="C53" t="str">
            <v>Bahan Bakar Bensin</v>
          </cell>
          <cell r="G53" t="str">
            <v>Mb</v>
          </cell>
          <cell r="H53">
            <v>6500</v>
          </cell>
          <cell r="I53" t="str">
            <v>Liter</v>
          </cell>
          <cell r="BC53" t="str">
            <v>Kapasitas alat yang diperlukan =</v>
          </cell>
          <cell r="BE53" t="str">
            <v>W</v>
          </cell>
          <cell r="BG53" t="str">
            <v>SC</v>
          </cell>
          <cell r="BH53" t="e">
            <v>#REF!</v>
          </cell>
          <cell r="BI53" t="str">
            <v>Ton/Jam</v>
          </cell>
        </row>
        <row r="54">
          <cell r="A54" t="str">
            <v xml:space="preserve">       5.</v>
          </cell>
          <cell r="C54" t="str">
            <v>Bahan Bakar Solar</v>
          </cell>
          <cell r="G54" t="str">
            <v>Ms</v>
          </cell>
          <cell r="H54">
            <v>5500</v>
          </cell>
          <cell r="I54" t="str">
            <v>Liter</v>
          </cell>
          <cell r="BE54" t="str">
            <v>T x Te1 x Te2 x Fa</v>
          </cell>
        </row>
        <row r="55">
          <cell r="A55" t="str">
            <v xml:space="preserve">       6.</v>
          </cell>
          <cell r="C55" t="str">
            <v>Minyak Pelumas</v>
          </cell>
          <cell r="G55" t="str">
            <v>Mp</v>
          </cell>
          <cell r="H55">
            <v>40000</v>
          </cell>
          <cell r="I55" t="str">
            <v>Liter</v>
          </cell>
        </row>
        <row r="56">
          <cell r="A56" t="str">
            <v xml:space="preserve">       7.</v>
          </cell>
          <cell r="C56" t="str">
            <v>PPN diperhitungkan pada lembar Rekapitulasi</v>
          </cell>
          <cell r="BA56" t="str">
            <v>VI.</v>
          </cell>
          <cell r="BC56" t="str">
            <v>ALAT YANG DIPAKAI</v>
          </cell>
        </row>
        <row r="57">
          <cell r="C57" t="str">
            <v>Biaya Pekerjaan</v>
          </cell>
          <cell r="BC57" t="str">
            <v>Kapasitas alat yang dipakai pada proyek ini</v>
          </cell>
          <cell r="BG57" t="str">
            <v>SCa</v>
          </cell>
          <cell r="BH57">
            <v>30</v>
          </cell>
          <cell r="BI57" t="str">
            <v>Ton/Jam</v>
          </cell>
          <cell r="BJ57" t="e">
            <v>#REF!</v>
          </cell>
        </row>
        <row r="60">
          <cell r="BA60" t="str">
            <v>KONFIRMASI KAPASITAS AMP</v>
          </cell>
        </row>
        <row r="61">
          <cell r="BA61" t="str">
            <v>( ASPHALT MIXING PLANT )</v>
          </cell>
        </row>
        <row r="64">
          <cell r="BA64" t="str">
            <v>No.</v>
          </cell>
          <cell r="BC64" t="str">
            <v>U R A I A N</v>
          </cell>
          <cell r="BG64" t="str">
            <v>KODE</v>
          </cell>
          <cell r="BH64" t="str">
            <v>KOEF.</v>
          </cell>
          <cell r="BI64" t="str">
            <v>SATUAN</v>
          </cell>
          <cell r="BJ64" t="str">
            <v>KET.</v>
          </cell>
        </row>
        <row r="67">
          <cell r="BA67" t="str">
            <v>I</v>
          </cell>
          <cell r="BC67" t="str">
            <v>BERAT JENIS BAHAN</v>
          </cell>
        </row>
        <row r="69">
          <cell r="BA69" t="str">
            <v>1.</v>
          </cell>
          <cell r="BC69" t="str">
            <v>Agregat Base</v>
          </cell>
          <cell r="BG69" t="str">
            <v>D1</v>
          </cell>
          <cell r="BH69">
            <v>2.2000000000000002</v>
          </cell>
          <cell r="BI69" t="str">
            <v>Ton/M3</v>
          </cell>
        </row>
        <row r="70">
          <cell r="BA70" t="str">
            <v>2.</v>
          </cell>
          <cell r="BC70" t="str">
            <v>ATB / ATBL / AC / HRS</v>
          </cell>
          <cell r="BG70" t="str">
            <v>D2</v>
          </cell>
          <cell r="BH70">
            <v>2.2999999999999998</v>
          </cell>
          <cell r="BI70" t="str">
            <v>Ton/M3</v>
          </cell>
        </row>
        <row r="71">
          <cell r="BA71" t="str">
            <v>3.</v>
          </cell>
          <cell r="BC71" t="str">
            <v>SBST / DBST</v>
          </cell>
          <cell r="BG71" t="str">
            <v>D3</v>
          </cell>
          <cell r="BH71">
            <v>2</v>
          </cell>
          <cell r="BI71" t="str">
            <v>Ton/M3</v>
          </cell>
        </row>
        <row r="73">
          <cell r="BA73" t="str">
            <v>II</v>
          </cell>
          <cell r="BC73" t="str">
            <v>TEBAL RATA-RATA HAMPARAN PADAT</v>
          </cell>
        </row>
        <row r="75">
          <cell r="BA75" t="str">
            <v>1.</v>
          </cell>
          <cell r="BC75" t="str">
            <v>Agregat Base</v>
          </cell>
          <cell r="BG75" t="str">
            <v>t1</v>
          </cell>
          <cell r="BH75">
            <v>0.15</v>
          </cell>
          <cell r="BI75" t="str">
            <v>M</v>
          </cell>
        </row>
        <row r="76">
          <cell r="BA76" t="str">
            <v>2.</v>
          </cell>
          <cell r="BC76" t="str">
            <v>Asphalt Concrete (AC)</v>
          </cell>
          <cell r="BG76" t="str">
            <v>t2</v>
          </cell>
          <cell r="BH76">
            <v>0.04</v>
          </cell>
          <cell r="BI76" t="str">
            <v>M</v>
          </cell>
        </row>
        <row r="77">
          <cell r="BA77" t="str">
            <v>3.</v>
          </cell>
          <cell r="BC77" t="str">
            <v>Hot Rolled Sheet (HRS)</v>
          </cell>
          <cell r="BG77" t="str">
            <v>t3</v>
          </cell>
          <cell r="BH77">
            <v>0.03</v>
          </cell>
          <cell r="BI77" t="str">
            <v>M</v>
          </cell>
        </row>
        <row r="78">
          <cell r="BA78" t="str">
            <v>4.</v>
          </cell>
          <cell r="BC78" t="str">
            <v>SBST</v>
          </cell>
          <cell r="BG78" t="str">
            <v>t4</v>
          </cell>
          <cell r="BH78">
            <v>0.02</v>
          </cell>
          <cell r="BI78" t="str">
            <v>M</v>
          </cell>
        </row>
        <row r="79">
          <cell r="BA79" t="str">
            <v>5.</v>
          </cell>
          <cell r="BC79" t="str">
            <v>DBST</v>
          </cell>
          <cell r="BG79" t="str">
            <v>t5</v>
          </cell>
          <cell r="BH79">
            <v>0.03</v>
          </cell>
          <cell r="BI79" t="str">
            <v>M</v>
          </cell>
        </row>
        <row r="81">
          <cell r="BA81" t="str">
            <v>III</v>
          </cell>
          <cell r="BC81" t="str">
            <v>VOLUME PEKERJAAN</v>
          </cell>
        </row>
        <row r="83">
          <cell r="BA83" t="str">
            <v>1.</v>
          </cell>
          <cell r="BC83" t="str">
            <v>Agregat Kelas A</v>
          </cell>
          <cell r="BG83" t="str">
            <v>v1</v>
          </cell>
          <cell r="BH83" t="str">
            <v xml:space="preserve">-  </v>
          </cell>
          <cell r="BI83" t="str">
            <v>M3</v>
          </cell>
        </row>
        <row r="84">
          <cell r="BA84" t="str">
            <v>2.</v>
          </cell>
          <cell r="BC84" t="str">
            <v>Agregat Kelas B</v>
          </cell>
          <cell r="BG84" t="str">
            <v>v2</v>
          </cell>
          <cell r="BH84" t="str">
            <v xml:space="preserve">-  </v>
          </cell>
          <cell r="BI84" t="str">
            <v>M3</v>
          </cell>
        </row>
        <row r="85">
          <cell r="BA85" t="str">
            <v>3.</v>
          </cell>
          <cell r="BC85" t="str">
            <v>ATB</v>
          </cell>
          <cell r="BG85" t="str">
            <v>v3</v>
          </cell>
          <cell r="BH85" t="e">
            <v>#REF!</v>
          </cell>
          <cell r="BI85" t="str">
            <v>M3</v>
          </cell>
        </row>
        <row r="86">
          <cell r="BA86" t="str">
            <v>4.</v>
          </cell>
          <cell r="BC86" t="str">
            <v>ATBL</v>
          </cell>
          <cell r="BG86" t="str">
            <v>v4</v>
          </cell>
          <cell r="BH86" t="e">
            <v>#REF!</v>
          </cell>
          <cell r="BI86" t="str">
            <v>Ton</v>
          </cell>
        </row>
        <row r="87">
          <cell r="BA87" t="str">
            <v>5.</v>
          </cell>
          <cell r="BC87" t="str">
            <v>AC</v>
          </cell>
          <cell r="BG87" t="str">
            <v>v5</v>
          </cell>
          <cell r="BH87" t="e">
            <v>#REF!</v>
          </cell>
          <cell r="BI87" t="str">
            <v>M2</v>
          </cell>
        </row>
        <row r="88">
          <cell r="BA88" t="str">
            <v>6.</v>
          </cell>
          <cell r="BC88" t="str">
            <v>HRS</v>
          </cell>
          <cell r="BG88" t="str">
            <v>v6</v>
          </cell>
          <cell r="BH88" t="e">
            <v>#REF!</v>
          </cell>
          <cell r="BI88" t="str">
            <v>M2</v>
          </cell>
        </row>
        <row r="89">
          <cell r="BA89" t="str">
            <v>7.</v>
          </cell>
          <cell r="BC89" t="str">
            <v>SBST</v>
          </cell>
          <cell r="BG89" t="str">
            <v>v7</v>
          </cell>
          <cell r="BH89" t="e">
            <v>#REF!</v>
          </cell>
          <cell r="BI89" t="str">
            <v>M2</v>
          </cell>
        </row>
        <row r="90">
          <cell r="BA90" t="str">
            <v>8.</v>
          </cell>
          <cell r="BC90" t="str">
            <v>DBST</v>
          </cell>
          <cell r="BG90" t="str">
            <v>v8</v>
          </cell>
          <cell r="BH90" t="e">
            <v>#REF!</v>
          </cell>
          <cell r="BI90" t="str">
            <v>M2</v>
          </cell>
        </row>
        <row r="92">
          <cell r="BA92" t="str">
            <v>IV</v>
          </cell>
          <cell r="BC92" t="str">
            <v>VOLUME PEKERJAAN ALAT</v>
          </cell>
        </row>
        <row r="94">
          <cell r="BA94" t="str">
            <v>1.</v>
          </cell>
          <cell r="BC94" t="str">
            <v>Agregat Kelas A</v>
          </cell>
          <cell r="BD94" t="str">
            <v>=  v1 x D1 x 80% x 1.05</v>
          </cell>
          <cell r="BG94" t="str">
            <v>w1</v>
          </cell>
          <cell r="BH94">
            <v>0</v>
          </cell>
          <cell r="BI94" t="str">
            <v>Ton</v>
          </cell>
        </row>
        <row r="95">
          <cell r="BA95" t="str">
            <v>2.</v>
          </cell>
          <cell r="BC95" t="str">
            <v>Agregat Kelas B</v>
          </cell>
          <cell r="BD95" t="str">
            <v>=  v2 x D1 x 80% x 1.05</v>
          </cell>
          <cell r="BG95" t="str">
            <v>w2</v>
          </cell>
          <cell r="BH95">
            <v>0</v>
          </cell>
          <cell r="BI95" t="str">
            <v>Ton</v>
          </cell>
        </row>
        <row r="96">
          <cell r="BA96" t="str">
            <v>3.</v>
          </cell>
          <cell r="BC96" t="str">
            <v>ATB</v>
          </cell>
          <cell r="BD96" t="str">
            <v>=  v3 x D2 x 1.05</v>
          </cell>
          <cell r="BG96" t="str">
            <v>w3</v>
          </cell>
          <cell r="BH96" t="e">
            <v>#REF!</v>
          </cell>
          <cell r="BI96" t="str">
            <v>Ton</v>
          </cell>
        </row>
        <row r="97">
          <cell r="BA97" t="str">
            <v>4.</v>
          </cell>
          <cell r="BC97" t="str">
            <v>ATBL</v>
          </cell>
          <cell r="BD97" t="str">
            <v>=  v4 x 1.05</v>
          </cell>
          <cell r="BG97" t="str">
            <v>w4</v>
          </cell>
          <cell r="BH97" t="e">
            <v>#REF!</v>
          </cell>
          <cell r="BI97" t="str">
            <v>Ton</v>
          </cell>
        </row>
        <row r="98">
          <cell r="BA98" t="str">
            <v>5.</v>
          </cell>
          <cell r="BC98" t="str">
            <v>AC</v>
          </cell>
          <cell r="BD98" t="str">
            <v>=  v5 x t2 x D2 x 1.05</v>
          </cell>
          <cell r="BG98" t="str">
            <v>w5</v>
          </cell>
          <cell r="BH98" t="e">
            <v>#REF!</v>
          </cell>
          <cell r="BI98" t="str">
            <v>Ton</v>
          </cell>
        </row>
        <row r="99">
          <cell r="BA99" t="str">
            <v>6.</v>
          </cell>
          <cell r="BC99" t="str">
            <v>HRS</v>
          </cell>
          <cell r="BD99" t="str">
            <v>=  v6 x t3 x D2 x 1.05</v>
          </cell>
          <cell r="BG99" t="str">
            <v>w6</v>
          </cell>
          <cell r="BH99" t="e">
            <v>#REF!</v>
          </cell>
          <cell r="BI99" t="str">
            <v>Ton</v>
          </cell>
        </row>
        <row r="100">
          <cell r="BA100" t="str">
            <v>7.</v>
          </cell>
          <cell r="BC100" t="str">
            <v>SBST</v>
          </cell>
          <cell r="BD100" t="str">
            <v>=  v7 x t4 x D3 x 1.05</v>
          </cell>
          <cell r="BG100" t="str">
            <v>w7</v>
          </cell>
          <cell r="BH100" t="e">
            <v>#REF!</v>
          </cell>
          <cell r="BI100" t="str">
            <v>Ton</v>
          </cell>
        </row>
        <row r="101">
          <cell r="BA101" t="str">
            <v>8.</v>
          </cell>
          <cell r="BC101" t="str">
            <v>DBST</v>
          </cell>
          <cell r="BD101" t="str">
            <v>=  v8 x t4 x D3 x 1.05</v>
          </cell>
          <cell r="BG101" t="str">
            <v>w8</v>
          </cell>
          <cell r="BH101" t="e">
            <v>#REF!</v>
          </cell>
          <cell r="BI101" t="str">
            <v>Ton</v>
          </cell>
        </row>
        <row r="103">
          <cell r="BC103" t="str">
            <v>Total Volume Pekerjaan Alat</v>
          </cell>
          <cell r="BE103" t="str">
            <v>=  w1 + . . . + w8</v>
          </cell>
          <cell r="BG103" t="str">
            <v>W</v>
          </cell>
          <cell r="BH103" t="e">
            <v>#REF!</v>
          </cell>
          <cell r="BI103" t="str">
            <v>Ton</v>
          </cell>
        </row>
        <row r="105">
          <cell r="BA105" t="str">
            <v>V</v>
          </cell>
          <cell r="BC105" t="str">
            <v>PERHITUNGAN KAPASITAS ALAT</v>
          </cell>
        </row>
        <row r="106">
          <cell r="BA106" t="str">
            <v>1.</v>
          </cell>
          <cell r="BC106" t="str">
            <v>Masa Mobilisasi / Demobilisasi</v>
          </cell>
          <cell r="BG106" t="str">
            <v>Tm</v>
          </cell>
          <cell r="BH106">
            <v>3</v>
          </cell>
          <cell r="BI106" t="str">
            <v>Bulan</v>
          </cell>
        </row>
        <row r="107">
          <cell r="BA107" t="str">
            <v>2.</v>
          </cell>
          <cell r="BC107" t="str">
            <v>Waktu Produksi (Di luar masa Mobilisasi &amp; Hari Libur)</v>
          </cell>
          <cell r="BG107" t="str">
            <v>T</v>
          </cell>
          <cell r="BH107">
            <v>3.3333333333333335</v>
          </cell>
          <cell r="BI107" t="str">
            <v>Bulan</v>
          </cell>
        </row>
        <row r="108">
          <cell r="BA108" t="str">
            <v>3.</v>
          </cell>
          <cell r="BC108" t="str">
            <v>Jumlah hari kerja efektif / bulan</v>
          </cell>
          <cell r="BG108" t="str">
            <v>Te1</v>
          </cell>
          <cell r="BH108">
            <v>25</v>
          </cell>
          <cell r="BI108" t="str">
            <v>Hari/Bln</v>
          </cell>
        </row>
        <row r="109">
          <cell r="BA109" t="str">
            <v>4.</v>
          </cell>
          <cell r="BC109" t="str">
            <v>Jumlah jam kerja efektif / hari</v>
          </cell>
          <cell r="BG109" t="str">
            <v>Te2</v>
          </cell>
          <cell r="BH109">
            <v>7</v>
          </cell>
          <cell r="BI109" t="str">
            <v>Jam/Hari</v>
          </cell>
        </row>
        <row r="110">
          <cell r="BA110" t="str">
            <v>5.</v>
          </cell>
          <cell r="BC110" t="str">
            <v>Faktor efisiensi alat</v>
          </cell>
          <cell r="BG110" t="str">
            <v>Fa</v>
          </cell>
          <cell r="BH110">
            <v>0.7</v>
          </cell>
          <cell r="BI110" t="str">
            <v>-</v>
          </cell>
        </row>
        <row r="112">
          <cell r="BC112" t="str">
            <v>Kapasitas alat yang diperlukan =</v>
          </cell>
          <cell r="BE112" t="str">
            <v>W</v>
          </cell>
          <cell r="BG112" t="str">
            <v>SC</v>
          </cell>
          <cell r="BH112" t="e">
            <v>#REF!</v>
          </cell>
          <cell r="BI112" t="str">
            <v>Ton/Jam</v>
          </cell>
        </row>
        <row r="113">
          <cell r="BE113" t="str">
            <v>T x Te1 x Te2 x Fa</v>
          </cell>
        </row>
        <row r="115">
          <cell r="BA115" t="str">
            <v>VI.</v>
          </cell>
          <cell r="BC115" t="str">
            <v>ALAT YANG DIPAKAI</v>
          </cell>
        </row>
        <row r="116">
          <cell r="BC116" t="str">
            <v>Kapasitas alat yang dipakai pada proyek ini</v>
          </cell>
          <cell r="BG116" t="str">
            <v>SCa</v>
          </cell>
          <cell r="BH116">
            <v>50</v>
          </cell>
          <cell r="BI116" t="str">
            <v>Ton/Jam</v>
          </cell>
          <cell r="BJ116" t="e">
            <v>#REF!</v>
          </cell>
        </row>
        <row r="178">
          <cell r="A178" t="str">
            <v>URAIAN PENGGUNAAN ALAT / ANALISA ALAT</v>
          </cell>
        </row>
        <row r="181">
          <cell r="A181" t="str">
            <v>No.</v>
          </cell>
          <cell r="C181" t="str">
            <v>U R A I A N</v>
          </cell>
          <cell r="G181" t="str">
            <v>KODE</v>
          </cell>
          <cell r="H181" t="str">
            <v>KOEF.</v>
          </cell>
          <cell r="I181" t="str">
            <v>SATUAN</v>
          </cell>
          <cell r="J181" t="str">
            <v>KET.</v>
          </cell>
        </row>
        <row r="184">
          <cell r="A184" t="str">
            <v>A.</v>
          </cell>
          <cell r="C184" t="str">
            <v>URAIAN PERALATAN</v>
          </cell>
        </row>
        <row r="185">
          <cell r="A185" t="str">
            <v xml:space="preserve">       1.</v>
          </cell>
          <cell r="C185" t="str">
            <v>Jenis Peralatan</v>
          </cell>
          <cell r="G185" t="str">
            <v>BULLDOZER 100-150 HP</v>
          </cell>
          <cell r="J185" t="str">
            <v>E04</v>
          </cell>
        </row>
        <row r="186">
          <cell r="A186" t="str">
            <v xml:space="preserve">       2.</v>
          </cell>
          <cell r="C186" t="str">
            <v>Tenaga</v>
          </cell>
          <cell r="G186" t="str">
            <v>Pw</v>
          </cell>
          <cell r="H186">
            <v>140</v>
          </cell>
          <cell r="I186" t="str">
            <v>HP</v>
          </cell>
        </row>
        <row r="187">
          <cell r="A187" t="str">
            <v xml:space="preserve">       3.</v>
          </cell>
          <cell r="C187" t="str">
            <v>Kapasitas</v>
          </cell>
          <cell r="G187" t="str">
            <v>Cp</v>
          </cell>
          <cell r="H187" t="str">
            <v xml:space="preserve">-  </v>
          </cell>
          <cell r="I187" t="str">
            <v>-</v>
          </cell>
        </row>
        <row r="188">
          <cell r="A188" t="str">
            <v xml:space="preserve">       4.</v>
          </cell>
          <cell r="C188" t="str">
            <v>Alat Baru                :</v>
          </cell>
          <cell r="D188" t="str">
            <v xml:space="preserve">  a.  Umur Ekonomis</v>
          </cell>
          <cell r="G188" t="str">
            <v>A</v>
          </cell>
          <cell r="H188">
            <v>5</v>
          </cell>
          <cell r="I188" t="str">
            <v>Tahun</v>
          </cell>
        </row>
        <row r="189">
          <cell r="D189" t="str">
            <v xml:space="preserve">  b.  Jam Kerja Dalam 1 Tahun</v>
          </cell>
          <cell r="G189" t="str">
            <v>W</v>
          </cell>
          <cell r="H189">
            <v>2000</v>
          </cell>
          <cell r="I189" t="str">
            <v>Jam</v>
          </cell>
        </row>
        <row r="190">
          <cell r="D190" t="str">
            <v xml:space="preserve">  c.  Harga Alat</v>
          </cell>
          <cell r="G190" t="str">
            <v>B</v>
          </cell>
          <cell r="H190">
            <v>1210000000</v>
          </cell>
          <cell r="I190" t="str">
            <v>Rupiah</v>
          </cell>
        </row>
        <row r="191">
          <cell r="A191" t="str">
            <v xml:space="preserve">       5.</v>
          </cell>
          <cell r="C191" t="str">
            <v>Alat Yang Dipakai  :</v>
          </cell>
          <cell r="D191" t="str">
            <v xml:space="preserve">  a.  Umur Ekonomis</v>
          </cell>
          <cell r="G191" t="str">
            <v>A'</v>
          </cell>
          <cell r="H191">
            <v>5</v>
          </cell>
          <cell r="I191" t="str">
            <v>Tahun</v>
          </cell>
          <cell r="J191" t="str">
            <v xml:space="preserve"> Alat Baru</v>
          </cell>
        </row>
        <row r="192">
          <cell r="D192" t="str">
            <v xml:space="preserve">  b.  Jam Kerja Dalam 1 Tahun </v>
          </cell>
          <cell r="G192" t="str">
            <v>W'</v>
          </cell>
          <cell r="H192">
            <v>2000</v>
          </cell>
          <cell r="I192" t="str">
            <v>Jam</v>
          </cell>
          <cell r="J192" t="str">
            <v xml:space="preserve"> Alat Baru</v>
          </cell>
        </row>
        <row r="193">
          <cell r="D193" t="str">
            <v xml:space="preserve">  c.  Harga Alat   (*)</v>
          </cell>
          <cell r="G193" t="str">
            <v>B'</v>
          </cell>
          <cell r="H193">
            <v>1210000000</v>
          </cell>
          <cell r="I193" t="str">
            <v>Rupiah</v>
          </cell>
          <cell r="J193" t="str">
            <v xml:space="preserve"> Alat Baru</v>
          </cell>
        </row>
        <row r="195">
          <cell r="A195" t="str">
            <v>B.</v>
          </cell>
          <cell r="C195" t="str">
            <v>BIAYA PASTI PER JAM KERJA</v>
          </cell>
        </row>
        <row r="196">
          <cell r="A196" t="str">
            <v xml:space="preserve">       1.</v>
          </cell>
          <cell r="C196" t="str">
            <v>Nilai Sisa Alat</v>
          </cell>
          <cell r="D196" t="str">
            <v>=  10 % x B</v>
          </cell>
          <cell r="G196" t="str">
            <v>C</v>
          </cell>
          <cell r="H196">
            <v>121000000</v>
          </cell>
          <cell r="I196" t="str">
            <v>Rupiah</v>
          </cell>
        </row>
        <row r="198">
          <cell r="A198" t="str">
            <v xml:space="preserve">       2.</v>
          </cell>
          <cell r="C198" t="str">
            <v>Faktor Angsuran Modal    =</v>
          </cell>
          <cell r="E198" t="str">
            <v>i x (1 + i)^A'</v>
          </cell>
          <cell r="G198" t="str">
            <v>D</v>
          </cell>
          <cell r="H198">
            <v>0.33437970328961514</v>
          </cell>
          <cell r="I198" t="str">
            <v>-</v>
          </cell>
        </row>
        <row r="199">
          <cell r="E199" t="str">
            <v>(1 + i)^A' - 1</v>
          </cell>
        </row>
        <row r="200">
          <cell r="A200" t="str">
            <v xml:space="preserve">       3.</v>
          </cell>
          <cell r="C200" t="str">
            <v>Biaya Pasti per Jam  :</v>
          </cell>
        </row>
        <row r="201">
          <cell r="C201" t="str">
            <v>a.  Biaya Pengembalian Modal  =</v>
          </cell>
          <cell r="E201" t="str">
            <v>( B' - C ) x D</v>
          </cell>
          <cell r="G201" t="str">
            <v>E</v>
          </cell>
          <cell r="H201">
            <v>182069.74844119544</v>
          </cell>
          <cell r="I201" t="str">
            <v>Rupiah</v>
          </cell>
        </row>
        <row r="202">
          <cell r="E202" t="str">
            <v>W'</v>
          </cell>
        </row>
        <row r="204">
          <cell r="C204" t="str">
            <v>b.  Asuransi, dll =</v>
          </cell>
          <cell r="D204">
            <v>2E-3</v>
          </cell>
          <cell r="E204" t="str">
            <v xml:space="preserve">  x   B'</v>
          </cell>
          <cell r="G204" t="str">
            <v>F</v>
          </cell>
          <cell r="H204">
            <v>1210</v>
          </cell>
          <cell r="I204" t="str">
            <v>Rupiah</v>
          </cell>
        </row>
        <row r="205">
          <cell r="E205" t="str">
            <v>W'</v>
          </cell>
        </row>
        <row r="207">
          <cell r="C207" t="str">
            <v>Biaya Pasti per Jam             =</v>
          </cell>
          <cell r="E207" t="str">
            <v>( E + F )</v>
          </cell>
          <cell r="G207" t="str">
            <v>G</v>
          </cell>
          <cell r="H207">
            <v>183279.74844119544</v>
          </cell>
          <cell r="I207" t="str">
            <v>Rupiah</v>
          </cell>
        </row>
        <row r="209">
          <cell r="A209" t="str">
            <v>C.</v>
          </cell>
          <cell r="C209" t="str">
            <v>BIAYA OPERASI PER JAM KERJA</v>
          </cell>
        </row>
        <row r="211">
          <cell r="A211" t="str">
            <v xml:space="preserve">       1.</v>
          </cell>
          <cell r="C211" t="str">
            <v xml:space="preserve">Bahan Bakar  =  (0.125-0.175 Ltr/HP/Jam)   x Pw x Ms </v>
          </cell>
          <cell r="G211" t="str">
            <v>H</v>
          </cell>
          <cell r="H211">
            <v>96250</v>
          </cell>
          <cell r="I211" t="str">
            <v>Rupiah</v>
          </cell>
        </row>
        <row r="213">
          <cell r="A213" t="str">
            <v xml:space="preserve">       2.</v>
          </cell>
          <cell r="C213" t="str">
            <v>Pelumas         =  (0.01-0.02 Ltr/HP/Jam) x Pw x Mp</v>
          </cell>
          <cell r="G213" t="str">
            <v>I</v>
          </cell>
          <cell r="H213">
            <v>56000.000000000007</v>
          </cell>
          <cell r="I213" t="str">
            <v>Rupiah</v>
          </cell>
        </row>
        <row r="215">
          <cell r="A215" t="str">
            <v xml:space="preserve">       3.</v>
          </cell>
          <cell r="C215" t="str">
            <v>Perawatan dan</v>
          </cell>
          <cell r="D215" t="str">
            <v>(12,5 % - 17,5 %)  x  B'</v>
          </cell>
          <cell r="G215" t="str">
            <v>K</v>
          </cell>
          <cell r="H215">
            <v>75625</v>
          </cell>
          <cell r="I215" t="str">
            <v>Rupiah</v>
          </cell>
        </row>
        <row r="216">
          <cell r="C216" t="str">
            <v xml:space="preserve">        perbaikan    =</v>
          </cell>
          <cell r="D216" t="str">
            <v>W'</v>
          </cell>
        </row>
        <row r="218">
          <cell r="A218" t="str">
            <v xml:space="preserve">       4.</v>
          </cell>
          <cell r="C218" t="str">
            <v>Operator</v>
          </cell>
          <cell r="D218" t="str">
            <v>=   ( 1  Orang / Jam )  x  U1</v>
          </cell>
          <cell r="G218" t="str">
            <v>L</v>
          </cell>
          <cell r="H218">
            <v>10000</v>
          </cell>
          <cell r="I218" t="str">
            <v>Rupiah</v>
          </cell>
        </row>
        <row r="219">
          <cell r="A219" t="str">
            <v xml:space="preserve">       5.</v>
          </cell>
          <cell r="C219" t="str">
            <v>Pembantu Operator</v>
          </cell>
          <cell r="D219" t="str">
            <v>=   ( 1  Orang / Jam )  x  U2</v>
          </cell>
          <cell r="G219" t="str">
            <v>M</v>
          </cell>
          <cell r="H219">
            <v>6500</v>
          </cell>
          <cell r="I219" t="str">
            <v>Rupiah</v>
          </cell>
        </row>
        <row r="221">
          <cell r="C221" t="str">
            <v>Biaya Operasi per Jam        =</v>
          </cell>
          <cell r="E221" t="str">
            <v>(H+I+K+L+M)</v>
          </cell>
          <cell r="G221" t="str">
            <v>P</v>
          </cell>
          <cell r="H221">
            <v>244375</v>
          </cell>
          <cell r="I221" t="str">
            <v>Rupiah</v>
          </cell>
        </row>
        <row r="223">
          <cell r="A223" t="str">
            <v>D.</v>
          </cell>
          <cell r="C223" t="str">
            <v>TOTAL BIAYA SEWA ALAT / JAM   =   ( G + P )</v>
          </cell>
          <cell r="G223" t="str">
            <v>S</v>
          </cell>
          <cell r="H223">
            <v>427654.74844119546</v>
          </cell>
          <cell r="I223" t="str">
            <v>Rupiah</v>
          </cell>
        </row>
        <row r="226">
          <cell r="A226" t="str">
            <v>E.</v>
          </cell>
          <cell r="C226" t="str">
            <v>LAIN - LAIN</v>
          </cell>
        </row>
        <row r="227">
          <cell r="A227" t="str">
            <v xml:space="preserve">       1.</v>
          </cell>
          <cell r="C227" t="str">
            <v>Tingkat Suku Bunga</v>
          </cell>
          <cell r="G227" t="str">
            <v>i</v>
          </cell>
          <cell r="H227">
            <v>20</v>
          </cell>
          <cell r="I227" t="str">
            <v>% / Tahun</v>
          </cell>
        </row>
        <row r="228">
          <cell r="A228" t="str">
            <v xml:space="preserve">       2.</v>
          </cell>
          <cell r="C228" t="str">
            <v>Upah Operator / Sopir</v>
          </cell>
          <cell r="G228" t="str">
            <v>U1</v>
          </cell>
          <cell r="H228">
            <v>10000</v>
          </cell>
          <cell r="I228" t="str">
            <v>Rp./Jam</v>
          </cell>
        </row>
        <row r="229">
          <cell r="A229" t="str">
            <v xml:space="preserve">       3.</v>
          </cell>
          <cell r="C229" t="str">
            <v>Upah Pembantu Operator / Pmb.Sopir</v>
          </cell>
          <cell r="G229" t="str">
            <v>U2</v>
          </cell>
          <cell r="H229">
            <v>6500</v>
          </cell>
          <cell r="I229" t="str">
            <v>Rp./Jam</v>
          </cell>
        </row>
        <row r="230">
          <cell r="A230" t="str">
            <v xml:space="preserve">       4.</v>
          </cell>
          <cell r="C230" t="str">
            <v>Bahan Bakar Bensin</v>
          </cell>
          <cell r="G230" t="str">
            <v>Mb</v>
          </cell>
          <cell r="H230">
            <v>6500</v>
          </cell>
          <cell r="I230" t="str">
            <v>Liter</v>
          </cell>
        </row>
        <row r="231">
          <cell r="A231" t="str">
            <v xml:space="preserve">       5.</v>
          </cell>
          <cell r="C231" t="str">
            <v>Bahan Bakar Solar</v>
          </cell>
          <cell r="G231" t="str">
            <v>Ms</v>
          </cell>
          <cell r="H231">
            <v>5500</v>
          </cell>
          <cell r="I231" t="str">
            <v>Liter</v>
          </cell>
        </row>
        <row r="232">
          <cell r="A232" t="str">
            <v xml:space="preserve">       6.</v>
          </cell>
          <cell r="C232" t="str">
            <v>Minyak Pelumas</v>
          </cell>
          <cell r="G232" t="str">
            <v>Mp</v>
          </cell>
          <cell r="H232">
            <v>40000</v>
          </cell>
          <cell r="I232" t="str">
            <v>Liter</v>
          </cell>
        </row>
        <row r="233">
          <cell r="A233" t="str">
            <v xml:space="preserve">       7.</v>
          </cell>
          <cell r="C233" t="str">
            <v>PPN diperhitungkan pada lembar Rekapitulasi</v>
          </cell>
        </row>
        <row r="234">
          <cell r="C234" t="str">
            <v>Biaya Pekerjaan</v>
          </cell>
        </row>
        <row r="296">
          <cell r="A296" t="str">
            <v>URAIAN PENGGUNAAN ALAT / ANALISA ALAT</v>
          </cell>
        </row>
        <row r="299">
          <cell r="A299" t="str">
            <v>No.</v>
          </cell>
          <cell r="C299" t="str">
            <v>U R A I A N</v>
          </cell>
          <cell r="G299" t="str">
            <v>KODE</v>
          </cell>
          <cell r="H299" t="str">
            <v>KOEF.</v>
          </cell>
          <cell r="I299" t="str">
            <v>SATUAN</v>
          </cell>
          <cell r="J299" t="str">
            <v>KET.</v>
          </cell>
        </row>
        <row r="302">
          <cell r="A302" t="str">
            <v>A.</v>
          </cell>
          <cell r="C302" t="str">
            <v>URAIAN PERALATAN</v>
          </cell>
        </row>
        <row r="303">
          <cell r="A303" t="str">
            <v xml:space="preserve">       1.</v>
          </cell>
          <cell r="C303" t="str">
            <v>Jenis Peralatan</v>
          </cell>
          <cell r="G303" t="str">
            <v>CONCRETE MIXER 0.3-0.6 M3</v>
          </cell>
          <cell r="J303" t="str">
            <v>E06</v>
          </cell>
        </row>
        <row r="304">
          <cell r="A304" t="str">
            <v xml:space="preserve">       2.</v>
          </cell>
          <cell r="C304" t="str">
            <v>Tenaga</v>
          </cell>
          <cell r="G304" t="str">
            <v>Pw</v>
          </cell>
          <cell r="H304">
            <v>15</v>
          </cell>
          <cell r="I304" t="str">
            <v>HP</v>
          </cell>
        </row>
        <row r="305">
          <cell r="A305" t="str">
            <v xml:space="preserve">       3.</v>
          </cell>
          <cell r="C305" t="str">
            <v>Kapasitas</v>
          </cell>
          <cell r="G305" t="str">
            <v>Cp</v>
          </cell>
          <cell r="H305">
            <v>500</v>
          </cell>
          <cell r="I305" t="str">
            <v>Liter</v>
          </cell>
        </row>
        <row r="306">
          <cell r="A306" t="str">
            <v xml:space="preserve">       4.</v>
          </cell>
          <cell r="C306" t="str">
            <v>Alat Baru                :</v>
          </cell>
          <cell r="D306" t="str">
            <v xml:space="preserve">  a.  Umur Ekonomis</v>
          </cell>
          <cell r="G306" t="str">
            <v>A</v>
          </cell>
          <cell r="H306">
            <v>4</v>
          </cell>
          <cell r="I306" t="str">
            <v>Tahun</v>
          </cell>
        </row>
        <row r="307">
          <cell r="D307" t="str">
            <v xml:space="preserve">  b.  Jam Kerja Dalam 1 Tahun</v>
          </cell>
          <cell r="G307" t="str">
            <v>W</v>
          </cell>
          <cell r="H307">
            <v>2000</v>
          </cell>
          <cell r="I307" t="str">
            <v>Jam</v>
          </cell>
        </row>
        <row r="308">
          <cell r="D308" t="str">
            <v xml:space="preserve">  c.  Harga Alat</v>
          </cell>
          <cell r="G308" t="str">
            <v>B</v>
          </cell>
          <cell r="H308">
            <v>39600000</v>
          </cell>
          <cell r="I308" t="str">
            <v>Rupiah</v>
          </cell>
        </row>
        <row r="309">
          <cell r="A309" t="str">
            <v xml:space="preserve">       5.</v>
          </cell>
          <cell r="C309" t="str">
            <v>Alat Yang Dipakai  :</v>
          </cell>
          <cell r="D309" t="str">
            <v xml:space="preserve">  a.  Umur Ekonomis</v>
          </cell>
          <cell r="G309" t="str">
            <v>A'</v>
          </cell>
          <cell r="H309">
            <v>4</v>
          </cell>
          <cell r="I309" t="str">
            <v>Tahun</v>
          </cell>
          <cell r="J309" t="str">
            <v xml:space="preserve"> Alat Baru</v>
          </cell>
        </row>
        <row r="310">
          <cell r="D310" t="str">
            <v xml:space="preserve">  b.  Jam Kerja Dalam 1 Tahun </v>
          </cell>
          <cell r="G310" t="str">
            <v>W'</v>
          </cell>
          <cell r="H310">
            <v>2000</v>
          </cell>
          <cell r="I310" t="str">
            <v>Jam</v>
          </cell>
          <cell r="J310" t="str">
            <v xml:space="preserve"> Alat Baru</v>
          </cell>
        </row>
        <row r="311">
          <cell r="D311" t="str">
            <v xml:space="preserve">  c.  Harga Alat   (*)</v>
          </cell>
          <cell r="G311" t="str">
            <v>B'</v>
          </cell>
          <cell r="H311">
            <v>39600000</v>
          </cell>
          <cell r="I311" t="str">
            <v>Rupiah</v>
          </cell>
          <cell r="J311" t="str">
            <v xml:space="preserve"> Alat Baru</v>
          </cell>
        </row>
        <row r="313">
          <cell r="A313" t="str">
            <v>B.</v>
          </cell>
          <cell r="C313" t="str">
            <v>BIAYA PASTI PER JAM KERJA</v>
          </cell>
        </row>
        <row r="314">
          <cell r="A314" t="str">
            <v xml:space="preserve">       1.</v>
          </cell>
          <cell r="C314" t="str">
            <v>Nilai Sisa Alat</v>
          </cell>
          <cell r="D314" t="str">
            <v>=  10 % x B</v>
          </cell>
          <cell r="G314" t="str">
            <v>C</v>
          </cell>
          <cell r="H314">
            <v>3960000</v>
          </cell>
          <cell r="I314" t="str">
            <v>Rupiah</v>
          </cell>
        </row>
        <row r="316">
          <cell r="A316" t="str">
            <v xml:space="preserve">       2.</v>
          </cell>
          <cell r="C316" t="str">
            <v>Faktor Angsuran Modal    =</v>
          </cell>
          <cell r="E316" t="str">
            <v>i x (1 + i)^A'</v>
          </cell>
          <cell r="G316" t="str">
            <v>D</v>
          </cell>
          <cell r="H316">
            <v>0.38628912071535026</v>
          </cell>
          <cell r="I316" t="str">
            <v>-</v>
          </cell>
        </row>
        <row r="317">
          <cell r="E317" t="str">
            <v>(1 + i)^A' - 1</v>
          </cell>
        </row>
        <row r="318">
          <cell r="A318" t="str">
            <v xml:space="preserve">       3.</v>
          </cell>
          <cell r="C318" t="str">
            <v>Biaya Pasti per Jam  :</v>
          </cell>
        </row>
        <row r="319">
          <cell r="C319" t="str">
            <v>a.  Biaya Pengembalian Modal  =</v>
          </cell>
          <cell r="E319" t="str">
            <v>( B' - C ) x D</v>
          </cell>
          <cell r="G319" t="str">
            <v>E</v>
          </cell>
          <cell r="H319">
            <v>6883.6721311475421</v>
          </cell>
          <cell r="I319" t="str">
            <v>Rupiah</v>
          </cell>
        </row>
        <row r="320">
          <cell r="E320" t="str">
            <v>W'</v>
          </cell>
        </row>
        <row r="322">
          <cell r="C322" t="str">
            <v>b.  Asuransi, dll =</v>
          </cell>
          <cell r="D322">
            <v>2E-3</v>
          </cell>
          <cell r="E322" t="str">
            <v xml:space="preserve">  x   B'</v>
          </cell>
          <cell r="G322" t="str">
            <v>F</v>
          </cell>
          <cell r="H322">
            <v>39.6</v>
          </cell>
          <cell r="I322" t="str">
            <v>Rupiah</v>
          </cell>
        </row>
        <row r="323">
          <cell r="E323" t="str">
            <v>W'</v>
          </cell>
        </row>
        <row r="325">
          <cell r="C325" t="str">
            <v>Biaya Pasti per Jam             =</v>
          </cell>
          <cell r="E325" t="str">
            <v>( E + F )</v>
          </cell>
          <cell r="G325" t="str">
            <v>G</v>
          </cell>
          <cell r="H325">
            <v>6923.2721311475425</v>
          </cell>
          <cell r="I325" t="str">
            <v>Rupiah</v>
          </cell>
        </row>
        <row r="327">
          <cell r="A327" t="str">
            <v>C.</v>
          </cell>
          <cell r="C327" t="str">
            <v>BIAYA OPERASI PER JAM KERJA</v>
          </cell>
        </row>
        <row r="329">
          <cell r="A329" t="str">
            <v xml:space="preserve">       1.</v>
          </cell>
          <cell r="C329" t="str">
            <v xml:space="preserve">Bahan Bakar  =  (0.125-0.175 Ltr/HP/Jam)   x Pw x Ms </v>
          </cell>
          <cell r="G329" t="str">
            <v>H</v>
          </cell>
          <cell r="H329">
            <v>10312.5</v>
          </cell>
          <cell r="I329" t="str">
            <v>Rupiah</v>
          </cell>
        </row>
        <row r="331">
          <cell r="A331" t="str">
            <v xml:space="preserve">       2.</v>
          </cell>
          <cell r="C331" t="str">
            <v>Pelumas         =  (0.01-0.02 Ltr/HP/Jam) x Pw x Mp</v>
          </cell>
          <cell r="G331" t="str">
            <v>I</v>
          </cell>
          <cell r="H331">
            <v>6000</v>
          </cell>
          <cell r="I331" t="str">
            <v>Rupiah</v>
          </cell>
        </row>
        <row r="333">
          <cell r="A333" t="str">
            <v xml:space="preserve">       3.</v>
          </cell>
          <cell r="C333" t="str">
            <v>Perawatan dan</v>
          </cell>
          <cell r="D333" t="str">
            <v>(12,5 % - 17,5 %)  x  B'</v>
          </cell>
          <cell r="G333" t="str">
            <v>K</v>
          </cell>
          <cell r="H333">
            <v>2475</v>
          </cell>
          <cell r="I333" t="str">
            <v>Rupiah</v>
          </cell>
        </row>
        <row r="334">
          <cell r="C334" t="str">
            <v xml:space="preserve">        perbaikan    =</v>
          </cell>
          <cell r="D334" t="str">
            <v>W'</v>
          </cell>
        </row>
        <row r="336">
          <cell r="A336" t="str">
            <v xml:space="preserve">       4.</v>
          </cell>
          <cell r="C336" t="str">
            <v>Operator</v>
          </cell>
          <cell r="D336" t="str">
            <v>=   ( 1  Orang / Jam )  x  U1</v>
          </cell>
          <cell r="G336" t="str">
            <v>L</v>
          </cell>
          <cell r="H336">
            <v>10000</v>
          </cell>
          <cell r="I336" t="str">
            <v>Rupiah</v>
          </cell>
        </row>
        <row r="337">
          <cell r="A337" t="str">
            <v xml:space="preserve">       5.</v>
          </cell>
          <cell r="C337" t="str">
            <v>Pembantu Operator</v>
          </cell>
          <cell r="D337" t="str">
            <v>=   ( 1  Orang / Jam )  x  U2</v>
          </cell>
          <cell r="G337" t="str">
            <v>M</v>
          </cell>
          <cell r="H337">
            <v>6500</v>
          </cell>
          <cell r="I337" t="str">
            <v>Rupiah</v>
          </cell>
        </row>
        <row r="339">
          <cell r="C339" t="str">
            <v>Biaya Operasi per Jam        =</v>
          </cell>
          <cell r="E339" t="str">
            <v>(H+I+K+L+M)</v>
          </cell>
          <cell r="G339" t="str">
            <v>P</v>
          </cell>
          <cell r="H339">
            <v>35287.5</v>
          </cell>
          <cell r="I339" t="str">
            <v>Rupiah</v>
          </cell>
        </row>
        <row r="341">
          <cell r="A341" t="str">
            <v>D.</v>
          </cell>
          <cell r="C341" t="str">
            <v>TOTAL BIAYA SEWA ALAT / JAM   =   ( G + P )</v>
          </cell>
          <cell r="G341" t="str">
            <v>S</v>
          </cell>
          <cell r="H341">
            <v>42210.77213114754</v>
          </cell>
          <cell r="I341" t="str">
            <v>Rupiah</v>
          </cell>
        </row>
        <row r="344">
          <cell r="A344" t="str">
            <v>E.</v>
          </cell>
          <cell r="C344" t="str">
            <v>LAIN - LAIN</v>
          </cell>
        </row>
        <row r="345">
          <cell r="A345" t="str">
            <v xml:space="preserve">       1.</v>
          </cell>
          <cell r="C345" t="str">
            <v>Tingkat Suku Bunga</v>
          </cell>
          <cell r="G345" t="str">
            <v>i</v>
          </cell>
          <cell r="H345">
            <v>20</v>
          </cell>
          <cell r="I345" t="str">
            <v>% / Tahun</v>
          </cell>
        </row>
        <row r="346">
          <cell r="A346" t="str">
            <v xml:space="preserve">       2.</v>
          </cell>
          <cell r="C346" t="str">
            <v>Upah Operator / Sopir</v>
          </cell>
          <cell r="G346" t="str">
            <v>U1</v>
          </cell>
          <cell r="H346">
            <v>10000</v>
          </cell>
          <cell r="I346" t="str">
            <v>Rp./Jam</v>
          </cell>
        </row>
        <row r="347">
          <cell r="A347" t="str">
            <v xml:space="preserve">       3.</v>
          </cell>
          <cell r="C347" t="str">
            <v>Upah Pembantu Operator / Pmb.Sopir</v>
          </cell>
          <cell r="G347" t="str">
            <v>U2</v>
          </cell>
          <cell r="H347">
            <v>6500</v>
          </cell>
          <cell r="I347" t="str">
            <v>Rp./Jam</v>
          </cell>
        </row>
        <row r="348">
          <cell r="A348" t="str">
            <v xml:space="preserve">       4.</v>
          </cell>
          <cell r="C348" t="str">
            <v>Bahan Bakar Bensin</v>
          </cell>
          <cell r="G348" t="str">
            <v>Mb</v>
          </cell>
          <cell r="H348">
            <v>6500</v>
          </cell>
          <cell r="I348" t="str">
            <v>Liter</v>
          </cell>
        </row>
        <row r="349">
          <cell r="A349" t="str">
            <v xml:space="preserve">       5.</v>
          </cell>
          <cell r="C349" t="str">
            <v>Bahan Bakar Solar</v>
          </cell>
          <cell r="G349" t="str">
            <v>Ms</v>
          </cell>
          <cell r="H349">
            <v>5500</v>
          </cell>
          <cell r="I349" t="str">
            <v>Liter</v>
          </cell>
        </row>
        <row r="350">
          <cell r="A350" t="str">
            <v xml:space="preserve">       6.</v>
          </cell>
          <cell r="C350" t="str">
            <v>Minyak Pelumas</v>
          </cell>
          <cell r="G350" t="str">
            <v>Mp</v>
          </cell>
          <cell r="H350">
            <v>40000</v>
          </cell>
          <cell r="I350" t="str">
            <v>Liter</v>
          </cell>
        </row>
        <row r="351">
          <cell r="A351" t="str">
            <v xml:space="preserve">       7.</v>
          </cell>
          <cell r="C351" t="str">
            <v>PPN diperhitungkan pada lembar Rekapitulasi</v>
          </cell>
        </row>
        <row r="352">
          <cell r="C352" t="str">
            <v>Biaya Pekerjaan</v>
          </cell>
        </row>
        <row r="355">
          <cell r="A355" t="str">
            <v>URAIAN PENGGUNAAN ALAT / ANALISA ALAT</v>
          </cell>
        </row>
        <row r="358">
          <cell r="A358" t="str">
            <v>No.</v>
          </cell>
          <cell r="C358" t="str">
            <v>U R A I A N</v>
          </cell>
          <cell r="G358" t="str">
            <v>KODE</v>
          </cell>
          <cell r="H358" t="str">
            <v>KOEF.</v>
          </cell>
          <cell r="I358" t="str">
            <v>SATUAN</v>
          </cell>
          <cell r="J358" t="str">
            <v>KET.</v>
          </cell>
        </row>
        <row r="361">
          <cell r="A361" t="str">
            <v>A.</v>
          </cell>
          <cell r="C361" t="str">
            <v>URAIAN PERALATAN</v>
          </cell>
        </row>
        <row r="362">
          <cell r="A362" t="str">
            <v xml:space="preserve">       1.</v>
          </cell>
          <cell r="C362" t="str">
            <v>Jenis Peralatan</v>
          </cell>
          <cell r="G362" t="str">
            <v>CRANE 10-15 TON</v>
          </cell>
          <cell r="J362" t="str">
            <v>E07</v>
          </cell>
        </row>
        <row r="363">
          <cell r="A363" t="str">
            <v xml:space="preserve">       2.</v>
          </cell>
          <cell r="C363" t="str">
            <v>Tenaga</v>
          </cell>
          <cell r="G363" t="str">
            <v>Pw</v>
          </cell>
          <cell r="H363">
            <v>150</v>
          </cell>
          <cell r="I363" t="str">
            <v>HP</v>
          </cell>
        </row>
        <row r="364">
          <cell r="A364" t="str">
            <v xml:space="preserve">       3.</v>
          </cell>
          <cell r="C364" t="str">
            <v>Kapasitas</v>
          </cell>
          <cell r="G364" t="str">
            <v>Cp</v>
          </cell>
          <cell r="H364">
            <v>15</v>
          </cell>
          <cell r="I364" t="str">
            <v>Ton</v>
          </cell>
        </row>
        <row r="365">
          <cell r="A365" t="str">
            <v xml:space="preserve">       4.</v>
          </cell>
          <cell r="C365" t="str">
            <v>Alat Baru                :</v>
          </cell>
          <cell r="D365" t="str">
            <v xml:space="preserve">  a.  Umur Ekonomis</v>
          </cell>
          <cell r="G365" t="str">
            <v>A</v>
          </cell>
          <cell r="H365">
            <v>5</v>
          </cell>
          <cell r="I365" t="str">
            <v>Tahun</v>
          </cell>
        </row>
        <row r="366">
          <cell r="D366" t="str">
            <v xml:space="preserve">  b.  Jam Kerja Dalam 1 Tahun</v>
          </cell>
          <cell r="G366" t="str">
            <v>W</v>
          </cell>
          <cell r="H366">
            <v>2000</v>
          </cell>
          <cell r="I366" t="str">
            <v>Jam</v>
          </cell>
        </row>
        <row r="367">
          <cell r="D367" t="str">
            <v xml:space="preserve">  c.  Harga Alat</v>
          </cell>
          <cell r="G367" t="str">
            <v>B</v>
          </cell>
          <cell r="H367">
            <v>836000000.00000012</v>
          </cell>
          <cell r="I367" t="str">
            <v>Rupiah</v>
          </cell>
        </row>
        <row r="368">
          <cell r="A368" t="str">
            <v xml:space="preserve">       5.</v>
          </cell>
          <cell r="C368" t="str">
            <v>Alat Yang Dipakai  :</v>
          </cell>
          <cell r="D368" t="str">
            <v xml:space="preserve">  a.  Umur Ekonomis</v>
          </cell>
          <cell r="G368" t="str">
            <v>A'</v>
          </cell>
          <cell r="H368">
            <v>5</v>
          </cell>
          <cell r="I368" t="str">
            <v>Tahun</v>
          </cell>
          <cell r="J368" t="str">
            <v xml:space="preserve"> Alat Baru</v>
          </cell>
        </row>
        <row r="369">
          <cell r="D369" t="str">
            <v xml:space="preserve">  b.  Jam Kerja Dalam 1 Tahun </v>
          </cell>
          <cell r="G369" t="str">
            <v>W'</v>
          </cell>
          <cell r="H369">
            <v>2000</v>
          </cell>
          <cell r="I369" t="str">
            <v>Jam</v>
          </cell>
          <cell r="J369" t="str">
            <v xml:space="preserve"> Alat Baru</v>
          </cell>
        </row>
        <row r="370">
          <cell r="D370" t="str">
            <v xml:space="preserve">  c.  Harga Alat   (*)</v>
          </cell>
          <cell r="G370" t="str">
            <v>B'</v>
          </cell>
          <cell r="H370">
            <v>836000000.00000012</v>
          </cell>
          <cell r="I370" t="str">
            <v>Rupiah</v>
          </cell>
          <cell r="J370" t="str">
            <v xml:space="preserve"> Alat Baru</v>
          </cell>
        </row>
        <row r="372">
          <cell r="A372" t="str">
            <v>B.</v>
          </cell>
          <cell r="C372" t="str">
            <v>BIAYA PASTI PER JAM KERJA</v>
          </cell>
        </row>
        <row r="373">
          <cell r="A373" t="str">
            <v xml:space="preserve">       1.</v>
          </cell>
          <cell r="C373" t="str">
            <v>Nilai Sisa Alat</v>
          </cell>
          <cell r="D373" t="str">
            <v>=  10 % x B</v>
          </cell>
          <cell r="G373" t="str">
            <v>C</v>
          </cell>
          <cell r="H373">
            <v>83600000.000000015</v>
          </cell>
          <cell r="I373" t="str">
            <v>Rupiah</v>
          </cell>
        </row>
        <row r="375">
          <cell r="A375" t="str">
            <v xml:space="preserve">       2.</v>
          </cell>
          <cell r="C375" t="str">
            <v>Faktor Angsuran Modal    =</v>
          </cell>
          <cell r="E375" t="str">
            <v>i x (1 + i)^A'</v>
          </cell>
          <cell r="G375" t="str">
            <v>D</v>
          </cell>
          <cell r="H375">
            <v>0.33437970328961514</v>
          </cell>
          <cell r="I375" t="str">
            <v>-</v>
          </cell>
        </row>
        <row r="376">
          <cell r="E376" t="str">
            <v>(1 + i)^A' - 1</v>
          </cell>
        </row>
        <row r="377">
          <cell r="A377" t="str">
            <v xml:space="preserve">       3.</v>
          </cell>
          <cell r="C377" t="str">
            <v>Biaya Pasti per Jam  :</v>
          </cell>
        </row>
        <row r="378">
          <cell r="C378" t="str">
            <v>a.  Biaya Pengembalian Modal  =</v>
          </cell>
          <cell r="E378" t="str">
            <v>( B' - C ) x D</v>
          </cell>
          <cell r="G378" t="str">
            <v>E</v>
          </cell>
          <cell r="H378">
            <v>125793.64437755324</v>
          </cell>
          <cell r="I378" t="str">
            <v>Rupiah</v>
          </cell>
        </row>
        <row r="379">
          <cell r="E379" t="str">
            <v>W'</v>
          </cell>
        </row>
        <row r="381">
          <cell r="C381" t="str">
            <v>b.  Asuransi, dll =</v>
          </cell>
          <cell r="D381">
            <v>2E-3</v>
          </cell>
          <cell r="E381" t="str">
            <v xml:space="preserve">  x   B'</v>
          </cell>
          <cell r="G381" t="str">
            <v>F</v>
          </cell>
          <cell r="H381">
            <v>836.00000000000011</v>
          </cell>
          <cell r="I381" t="str">
            <v>Rupiah</v>
          </cell>
        </row>
        <row r="382">
          <cell r="E382" t="str">
            <v>W'</v>
          </cell>
        </row>
        <row r="384">
          <cell r="C384" t="str">
            <v>Biaya Pasti per Jam             =</v>
          </cell>
          <cell r="E384" t="str">
            <v>( E + F )</v>
          </cell>
          <cell r="G384" t="str">
            <v>G</v>
          </cell>
          <cell r="H384">
            <v>126629.64437755324</v>
          </cell>
          <cell r="I384" t="str">
            <v>Rupiah</v>
          </cell>
        </row>
        <row r="386">
          <cell r="A386" t="str">
            <v>C.</v>
          </cell>
          <cell r="C386" t="str">
            <v>BIAYA OPERASI PER JAM KERJA</v>
          </cell>
        </row>
        <row r="388">
          <cell r="A388" t="str">
            <v xml:space="preserve">       1.</v>
          </cell>
          <cell r="C388" t="str">
            <v xml:space="preserve">Bahan Bakar  =  (0.125-0.175 Ltr/HP/Jam)   x Pw x Ms </v>
          </cell>
          <cell r="G388" t="str">
            <v>H</v>
          </cell>
          <cell r="H388">
            <v>103125</v>
          </cell>
          <cell r="I388" t="str">
            <v>Rupiah</v>
          </cell>
        </row>
        <row r="390">
          <cell r="A390" t="str">
            <v xml:space="preserve">       2.</v>
          </cell>
          <cell r="C390" t="str">
            <v>Pelumas         =  (0.01-0.02 Ltr/HP/Jam) x Pw x Mp</v>
          </cell>
          <cell r="G390" t="str">
            <v>I</v>
          </cell>
          <cell r="H390">
            <v>60000</v>
          </cell>
          <cell r="I390" t="str">
            <v>Rupiah</v>
          </cell>
        </row>
        <row r="392">
          <cell r="A392" t="str">
            <v xml:space="preserve">       3.</v>
          </cell>
          <cell r="C392" t="str">
            <v>Perawatan dan</v>
          </cell>
          <cell r="D392" t="str">
            <v>(12,5 % - 17,5 %)  x  B'</v>
          </cell>
          <cell r="G392" t="str">
            <v>K</v>
          </cell>
          <cell r="H392">
            <v>52250.000000000007</v>
          </cell>
          <cell r="I392" t="str">
            <v>Rupiah</v>
          </cell>
        </row>
        <row r="393">
          <cell r="C393" t="str">
            <v xml:space="preserve">        perbaikan    =</v>
          </cell>
          <cell r="D393" t="str">
            <v>W'</v>
          </cell>
        </row>
        <row r="395">
          <cell r="A395" t="str">
            <v xml:space="preserve">       4.</v>
          </cell>
          <cell r="C395" t="str">
            <v>Operator</v>
          </cell>
          <cell r="D395" t="str">
            <v>=   ( 1  Orang / Jam )  x  U1</v>
          </cell>
          <cell r="G395" t="str">
            <v>L</v>
          </cell>
          <cell r="H395">
            <v>10000</v>
          </cell>
          <cell r="I395" t="str">
            <v>Rupiah</v>
          </cell>
        </row>
        <row r="396">
          <cell r="A396" t="str">
            <v xml:space="preserve">       5.</v>
          </cell>
          <cell r="C396" t="str">
            <v>Pembantu Operator</v>
          </cell>
          <cell r="D396" t="str">
            <v>=   ( 1  Orang / Jam )  x  U2</v>
          </cell>
          <cell r="G396" t="str">
            <v>M</v>
          </cell>
          <cell r="H396">
            <v>6500</v>
          </cell>
          <cell r="I396" t="str">
            <v>Rupiah</v>
          </cell>
        </row>
        <row r="398">
          <cell r="C398" t="str">
            <v>Biaya Operasi per Jam        =</v>
          </cell>
          <cell r="E398" t="str">
            <v>(H+I+K+L+M)</v>
          </cell>
          <cell r="G398" t="str">
            <v>P</v>
          </cell>
          <cell r="H398">
            <v>231875</v>
          </cell>
          <cell r="I398" t="str">
            <v>Rupiah</v>
          </cell>
        </row>
        <row r="400">
          <cell r="A400" t="str">
            <v>D.</v>
          </cell>
          <cell r="C400" t="str">
            <v>TOTAL BIAYA SEWA ALAT / JAM   =   ( G + P )</v>
          </cell>
          <cell r="G400" t="str">
            <v>S</v>
          </cell>
          <cell r="H400">
            <v>358504.64437755325</v>
          </cell>
          <cell r="I400" t="str">
            <v>Rupiah</v>
          </cell>
        </row>
        <row r="403">
          <cell r="A403" t="str">
            <v>E.</v>
          </cell>
          <cell r="C403" t="str">
            <v>LAIN - LAIN</v>
          </cell>
        </row>
        <row r="404">
          <cell r="A404" t="str">
            <v xml:space="preserve">       1.</v>
          </cell>
          <cell r="C404" t="str">
            <v>Tingkat Suku Bunga</v>
          </cell>
          <cell r="G404" t="str">
            <v>i</v>
          </cell>
          <cell r="H404">
            <v>20</v>
          </cell>
          <cell r="I404" t="str">
            <v>% / Tahun</v>
          </cell>
        </row>
        <row r="405">
          <cell r="A405" t="str">
            <v xml:space="preserve">       2.</v>
          </cell>
          <cell r="C405" t="str">
            <v>Upah Operator / Sopir</v>
          </cell>
          <cell r="G405" t="str">
            <v>U1</v>
          </cell>
          <cell r="H405">
            <v>10000</v>
          </cell>
          <cell r="I405" t="str">
            <v>Rp./Jam</v>
          </cell>
        </row>
        <row r="406">
          <cell r="A406" t="str">
            <v xml:space="preserve">       3.</v>
          </cell>
          <cell r="C406" t="str">
            <v>Upah Pembantu Operator / Pmb.Sopir</v>
          </cell>
          <cell r="G406" t="str">
            <v>U2</v>
          </cell>
          <cell r="H406">
            <v>6500</v>
          </cell>
          <cell r="I406" t="str">
            <v>Rp./Jam</v>
          </cell>
        </row>
        <row r="407">
          <cell r="A407" t="str">
            <v xml:space="preserve">       4.</v>
          </cell>
          <cell r="C407" t="str">
            <v>Bahan Bakar Bensin</v>
          </cell>
          <cell r="G407" t="str">
            <v>Mb</v>
          </cell>
          <cell r="H407">
            <v>6500</v>
          </cell>
          <cell r="I407" t="str">
            <v>Liter</v>
          </cell>
        </row>
        <row r="408">
          <cell r="A408" t="str">
            <v xml:space="preserve">       5.</v>
          </cell>
          <cell r="C408" t="str">
            <v>Bahan Bakar Solar</v>
          </cell>
          <cell r="G408" t="str">
            <v>Ms</v>
          </cell>
          <cell r="H408">
            <v>5500</v>
          </cell>
          <cell r="I408" t="str">
            <v>Liter</v>
          </cell>
        </row>
        <row r="409">
          <cell r="A409" t="str">
            <v xml:space="preserve">       6.</v>
          </cell>
          <cell r="C409" t="str">
            <v>Minyak Pelumas</v>
          </cell>
          <cell r="G409" t="str">
            <v>Mp</v>
          </cell>
          <cell r="H409">
            <v>40000</v>
          </cell>
          <cell r="I409" t="str">
            <v>Liter</v>
          </cell>
        </row>
        <row r="410">
          <cell r="A410" t="str">
            <v xml:space="preserve">       7.</v>
          </cell>
          <cell r="C410" t="str">
            <v>PPN diperhitungkan pada lembar Rekapitulasi</v>
          </cell>
        </row>
        <row r="411">
          <cell r="C411" t="str">
            <v>Biaya Pekerjaan</v>
          </cell>
        </row>
        <row r="414">
          <cell r="A414" t="str">
            <v>URAIAN PENGGUNAAN ALAT / ANALISA ALAT</v>
          </cell>
        </row>
        <row r="417">
          <cell r="A417" t="str">
            <v>No.</v>
          </cell>
          <cell r="C417" t="str">
            <v>U R A I A N</v>
          </cell>
          <cell r="G417" t="str">
            <v>KODE</v>
          </cell>
          <cell r="H417" t="str">
            <v>KOEF.</v>
          </cell>
          <cell r="I417" t="str">
            <v>SATUAN</v>
          </cell>
          <cell r="J417" t="str">
            <v>KET.</v>
          </cell>
        </row>
        <row r="420">
          <cell r="A420" t="str">
            <v>A.</v>
          </cell>
          <cell r="C420" t="str">
            <v>URAIAN PERALATAN</v>
          </cell>
        </row>
        <row r="421">
          <cell r="A421" t="str">
            <v xml:space="preserve">       1.</v>
          </cell>
          <cell r="C421" t="str">
            <v>Jenis Peralatan</v>
          </cell>
          <cell r="G421" t="str">
            <v>DUMP TRUCK 3-4 M3</v>
          </cell>
          <cell r="J421" t="str">
            <v>E08</v>
          </cell>
        </row>
        <row r="422">
          <cell r="A422" t="str">
            <v xml:space="preserve">       2.</v>
          </cell>
          <cell r="C422" t="str">
            <v>Tenaga</v>
          </cell>
          <cell r="G422" t="str">
            <v>Pw</v>
          </cell>
          <cell r="H422">
            <v>100</v>
          </cell>
          <cell r="I422" t="str">
            <v>HP</v>
          </cell>
        </row>
        <row r="423">
          <cell r="A423" t="str">
            <v xml:space="preserve">       3.</v>
          </cell>
          <cell r="C423" t="str">
            <v>Kapasitas</v>
          </cell>
          <cell r="G423" t="str">
            <v>Cp</v>
          </cell>
          <cell r="H423">
            <v>6</v>
          </cell>
          <cell r="I423" t="str">
            <v>Ton</v>
          </cell>
        </row>
        <row r="424">
          <cell r="A424" t="str">
            <v xml:space="preserve">       4.</v>
          </cell>
          <cell r="C424" t="str">
            <v>Alat Baru                :</v>
          </cell>
          <cell r="D424" t="str">
            <v xml:space="preserve">  a.  Umur Ekonomis</v>
          </cell>
          <cell r="G424" t="str">
            <v>A</v>
          </cell>
          <cell r="H424">
            <v>5</v>
          </cell>
          <cell r="I424" t="str">
            <v>Tahun</v>
          </cell>
        </row>
        <row r="425">
          <cell r="D425" t="str">
            <v xml:space="preserve">  b.  Jam Kerja Dalam 1 Tahun</v>
          </cell>
          <cell r="G425" t="str">
            <v>W</v>
          </cell>
          <cell r="H425">
            <v>2000</v>
          </cell>
          <cell r="I425" t="str">
            <v>Jam</v>
          </cell>
        </row>
        <row r="426">
          <cell r="D426" t="str">
            <v xml:space="preserve">  c.  Harga Alat</v>
          </cell>
          <cell r="G426" t="str">
            <v>B</v>
          </cell>
          <cell r="H426">
            <v>209000000.00000003</v>
          </cell>
          <cell r="I426" t="str">
            <v>Rupiah</v>
          </cell>
        </row>
        <row r="427">
          <cell r="A427" t="str">
            <v xml:space="preserve">       5.</v>
          </cell>
          <cell r="C427" t="str">
            <v>Alat Yang Dipakai  :</v>
          </cell>
          <cell r="D427" t="str">
            <v xml:space="preserve">  a.  Umur Ekonomis</v>
          </cell>
          <cell r="G427" t="str">
            <v>A'</v>
          </cell>
          <cell r="H427">
            <v>5</v>
          </cell>
          <cell r="I427" t="str">
            <v>Tahun</v>
          </cell>
          <cell r="J427" t="str">
            <v xml:space="preserve"> Alat Baru</v>
          </cell>
        </row>
        <row r="428">
          <cell r="D428" t="str">
            <v xml:space="preserve">  b.  Jam Kerja Dalam 1 Tahun </v>
          </cell>
          <cell r="G428" t="str">
            <v>W'</v>
          </cell>
          <cell r="H428">
            <v>2000</v>
          </cell>
          <cell r="I428" t="str">
            <v>Jam</v>
          </cell>
          <cell r="J428" t="str">
            <v xml:space="preserve"> Alat Baru</v>
          </cell>
        </row>
        <row r="429">
          <cell r="D429" t="str">
            <v xml:space="preserve">  c.  Harga Alat   (*)</v>
          </cell>
          <cell r="G429" t="str">
            <v>B'</v>
          </cell>
          <cell r="H429">
            <v>209000000.00000003</v>
          </cell>
          <cell r="I429" t="str">
            <v>Rupiah</v>
          </cell>
          <cell r="J429" t="str">
            <v xml:space="preserve"> Alat Baru</v>
          </cell>
        </row>
        <row r="431">
          <cell r="A431" t="str">
            <v>B.</v>
          </cell>
          <cell r="C431" t="str">
            <v>BIAYA PASTI PER JAM KERJA</v>
          </cell>
        </row>
        <row r="432">
          <cell r="A432" t="str">
            <v xml:space="preserve">       1.</v>
          </cell>
          <cell r="C432" t="str">
            <v>Nilai Sisa Alat</v>
          </cell>
          <cell r="D432" t="str">
            <v>=  10 % x B</v>
          </cell>
          <cell r="G432" t="str">
            <v>C</v>
          </cell>
          <cell r="H432">
            <v>20900000.000000004</v>
          </cell>
          <cell r="I432" t="str">
            <v>Rupiah</v>
          </cell>
        </row>
        <row r="434">
          <cell r="A434" t="str">
            <v xml:space="preserve">       2.</v>
          </cell>
          <cell r="C434" t="str">
            <v>Faktor Angsuran Modal    =</v>
          </cell>
          <cell r="E434" t="str">
            <v>i x (1 + i)^A'</v>
          </cell>
          <cell r="G434" t="str">
            <v>D</v>
          </cell>
          <cell r="H434">
            <v>0.33437970328961514</v>
          </cell>
          <cell r="I434" t="str">
            <v>-</v>
          </cell>
        </row>
        <row r="435">
          <cell r="E435" t="str">
            <v>(1 + i)^A' - 1</v>
          </cell>
        </row>
        <row r="436">
          <cell r="A436" t="str">
            <v xml:space="preserve">       3.</v>
          </cell>
          <cell r="C436" t="str">
            <v>Biaya Pasti per Jam  :</v>
          </cell>
        </row>
        <row r="437">
          <cell r="C437" t="str">
            <v>a.  Biaya Pengembalian Modal  =</v>
          </cell>
          <cell r="E437" t="str">
            <v>( B' - C ) x D</v>
          </cell>
          <cell r="G437" t="str">
            <v>E</v>
          </cell>
          <cell r="H437">
            <v>31448.41109438831</v>
          </cell>
          <cell r="I437" t="str">
            <v>Rupiah</v>
          </cell>
        </row>
        <row r="438">
          <cell r="E438" t="str">
            <v>W'</v>
          </cell>
        </row>
        <row r="440">
          <cell r="C440" t="str">
            <v>b.  Asuransi, dll =</v>
          </cell>
          <cell r="D440">
            <v>2E-3</v>
          </cell>
          <cell r="E440" t="str">
            <v xml:space="preserve">  x   B'</v>
          </cell>
          <cell r="G440" t="str">
            <v>F</v>
          </cell>
          <cell r="H440">
            <v>209.00000000000003</v>
          </cell>
          <cell r="I440" t="str">
            <v>Rupiah</v>
          </cell>
        </row>
        <row r="441">
          <cell r="E441" t="str">
            <v>W'</v>
          </cell>
        </row>
        <row r="443">
          <cell r="C443" t="str">
            <v>Biaya Pasti per Jam             =</v>
          </cell>
          <cell r="E443" t="str">
            <v>( E + F )</v>
          </cell>
          <cell r="G443" t="str">
            <v>G</v>
          </cell>
          <cell r="H443">
            <v>31657.41109438831</v>
          </cell>
          <cell r="I443" t="str">
            <v>Rupiah</v>
          </cell>
        </row>
        <row r="445">
          <cell r="A445" t="str">
            <v>C.</v>
          </cell>
          <cell r="C445" t="str">
            <v>BIAYA OPERASI PER JAM KERJA</v>
          </cell>
        </row>
        <row r="447">
          <cell r="A447" t="str">
            <v xml:space="preserve">       1.</v>
          </cell>
          <cell r="C447" t="str">
            <v xml:space="preserve">Bahan Bakar  =  (0.125-0.175 Ltr/HP/Jam)   x Pw x Ms </v>
          </cell>
          <cell r="G447" t="str">
            <v>H</v>
          </cell>
          <cell r="H447">
            <v>68750</v>
          </cell>
          <cell r="I447" t="str">
            <v>Rupiah</v>
          </cell>
        </row>
        <row r="449">
          <cell r="A449" t="str">
            <v xml:space="preserve">       2.</v>
          </cell>
          <cell r="C449" t="str">
            <v>Pelumas         =  (0.01-0.02 Ltr/HP/Jam) x Pw x Mp</v>
          </cell>
          <cell r="G449" t="str">
            <v>I</v>
          </cell>
          <cell r="H449">
            <v>40000</v>
          </cell>
          <cell r="I449" t="str">
            <v>Rupiah</v>
          </cell>
        </row>
        <row r="451">
          <cell r="A451" t="str">
            <v xml:space="preserve">       3.</v>
          </cell>
          <cell r="C451" t="str">
            <v>Perawatan dan</v>
          </cell>
          <cell r="D451" t="str">
            <v>(12,5 % - 17,5 %)  x  B'</v>
          </cell>
          <cell r="G451" t="str">
            <v>K</v>
          </cell>
          <cell r="H451">
            <v>13062.500000000002</v>
          </cell>
          <cell r="I451" t="str">
            <v>Rupiah</v>
          </cell>
        </row>
        <row r="452">
          <cell r="C452" t="str">
            <v xml:space="preserve">        perbaikan    =</v>
          </cell>
          <cell r="D452" t="str">
            <v>W'</v>
          </cell>
        </row>
        <row r="454">
          <cell r="A454" t="str">
            <v xml:space="preserve">       4.</v>
          </cell>
          <cell r="C454" t="str">
            <v>Operator</v>
          </cell>
          <cell r="D454" t="str">
            <v>=   ( 1  Orang / Jam )  x  U1</v>
          </cell>
          <cell r="G454" t="str">
            <v>L</v>
          </cell>
          <cell r="H454">
            <v>10000</v>
          </cell>
          <cell r="I454" t="str">
            <v>Rupiah</v>
          </cell>
        </row>
        <row r="455">
          <cell r="A455" t="str">
            <v xml:space="preserve">       5.</v>
          </cell>
          <cell r="C455" t="str">
            <v>Pembantu Operator</v>
          </cell>
          <cell r="D455" t="str">
            <v>=   ( 1  Orang / Jam )  x  U2</v>
          </cell>
          <cell r="G455" t="str">
            <v>M</v>
          </cell>
          <cell r="H455">
            <v>6500</v>
          </cell>
          <cell r="I455" t="str">
            <v>Rupiah</v>
          </cell>
        </row>
        <row r="457">
          <cell r="C457" t="str">
            <v>Biaya Operasi per Jam        =</v>
          </cell>
          <cell r="E457" t="str">
            <v>(H+I+K+L+M)</v>
          </cell>
          <cell r="G457" t="str">
            <v>P</v>
          </cell>
          <cell r="H457">
            <v>138312.5</v>
          </cell>
          <cell r="I457" t="str">
            <v>Rupiah</v>
          </cell>
        </row>
        <row r="459">
          <cell r="A459" t="str">
            <v>D.</v>
          </cell>
          <cell r="C459" t="str">
            <v>TOTAL BIAYA SEWA ALAT / JAM   =   ( G + P )</v>
          </cell>
          <cell r="G459" t="str">
            <v>S</v>
          </cell>
          <cell r="H459">
            <v>169969.91109438831</v>
          </cell>
          <cell r="I459" t="str">
            <v>Rupiah</v>
          </cell>
        </row>
        <row r="462">
          <cell r="A462" t="str">
            <v>E.</v>
          </cell>
          <cell r="C462" t="str">
            <v>LAIN - LAIN</v>
          </cell>
        </row>
        <row r="463">
          <cell r="A463" t="str">
            <v xml:space="preserve">       1.</v>
          </cell>
          <cell r="C463" t="str">
            <v>Tingkat Suku Bunga</v>
          </cell>
          <cell r="G463" t="str">
            <v>i</v>
          </cell>
          <cell r="H463">
            <v>20</v>
          </cell>
          <cell r="I463" t="str">
            <v>% / Tahun</v>
          </cell>
        </row>
        <row r="464">
          <cell r="A464" t="str">
            <v xml:space="preserve">       2.</v>
          </cell>
          <cell r="C464" t="str">
            <v>Upah Operator / Sopir / Mekanik</v>
          </cell>
          <cell r="G464" t="str">
            <v>U1</v>
          </cell>
          <cell r="H464">
            <v>10000</v>
          </cell>
          <cell r="I464" t="str">
            <v>Rp./Jam</v>
          </cell>
        </row>
        <row r="465">
          <cell r="A465" t="str">
            <v xml:space="preserve">       3.</v>
          </cell>
          <cell r="C465" t="str">
            <v>Upah Pembantu Operator / Pmb.Sopir / Pmb.Mekanik</v>
          </cell>
          <cell r="G465" t="str">
            <v>U2</v>
          </cell>
          <cell r="H465">
            <v>6500</v>
          </cell>
          <cell r="I465" t="str">
            <v>Rp./Jam</v>
          </cell>
        </row>
        <row r="466">
          <cell r="A466" t="str">
            <v xml:space="preserve">       4.</v>
          </cell>
          <cell r="C466" t="str">
            <v>Bahan Bakar Bensin</v>
          </cell>
          <cell r="G466" t="str">
            <v>Mb</v>
          </cell>
          <cell r="H466">
            <v>6500</v>
          </cell>
          <cell r="I466" t="str">
            <v>Liter</v>
          </cell>
        </row>
        <row r="467">
          <cell r="A467" t="str">
            <v xml:space="preserve">       5.</v>
          </cell>
          <cell r="C467" t="str">
            <v>Bahan Bakar Solar</v>
          </cell>
          <cell r="G467" t="str">
            <v>Ms</v>
          </cell>
          <cell r="H467">
            <v>5500</v>
          </cell>
          <cell r="I467" t="str">
            <v>Liter</v>
          </cell>
        </row>
        <row r="468">
          <cell r="A468" t="str">
            <v xml:space="preserve">       6.</v>
          </cell>
          <cell r="C468" t="str">
            <v>Minyak Pelumas</v>
          </cell>
          <cell r="G468" t="str">
            <v>Mp</v>
          </cell>
          <cell r="H468">
            <v>40000</v>
          </cell>
          <cell r="I468" t="str">
            <v>Liter</v>
          </cell>
        </row>
        <row r="469">
          <cell r="A469" t="str">
            <v xml:space="preserve">       7.</v>
          </cell>
          <cell r="C469" t="str">
            <v>PPN diperhitungkan pada lembar Rekapitulasi</v>
          </cell>
        </row>
        <row r="470">
          <cell r="C470" t="str">
            <v>Biaya Pekerjaan</v>
          </cell>
        </row>
        <row r="473">
          <cell r="A473" t="str">
            <v>URAIAN PENGGUNAAN ALAT / ANALISA ALAT</v>
          </cell>
        </row>
        <row r="476">
          <cell r="A476" t="str">
            <v>No.</v>
          </cell>
          <cell r="C476" t="str">
            <v>U R A I A N</v>
          </cell>
          <cell r="G476" t="str">
            <v>KODE</v>
          </cell>
          <cell r="H476" t="str">
            <v>KOEF.</v>
          </cell>
          <cell r="I476" t="str">
            <v>SATUAN</v>
          </cell>
          <cell r="J476" t="str">
            <v>KET.</v>
          </cell>
        </row>
        <row r="479">
          <cell r="A479" t="str">
            <v>A.</v>
          </cell>
          <cell r="C479" t="str">
            <v>URAIAN PERALATAN</v>
          </cell>
        </row>
        <row r="480">
          <cell r="A480" t="str">
            <v xml:space="preserve">       1.</v>
          </cell>
          <cell r="C480" t="str">
            <v>Jenis Peralatan</v>
          </cell>
          <cell r="G480" t="str">
            <v>DUMP TRUCK</v>
          </cell>
          <cell r="J480" t="str">
            <v>E09</v>
          </cell>
        </row>
        <row r="481">
          <cell r="A481" t="str">
            <v xml:space="preserve">       2.</v>
          </cell>
          <cell r="C481" t="str">
            <v>Tenaga</v>
          </cell>
          <cell r="G481" t="str">
            <v>Pw</v>
          </cell>
          <cell r="H481">
            <v>125</v>
          </cell>
          <cell r="I481" t="str">
            <v>HP</v>
          </cell>
        </row>
        <row r="482">
          <cell r="A482" t="str">
            <v xml:space="preserve">       3.</v>
          </cell>
          <cell r="C482" t="str">
            <v>Kapasitas</v>
          </cell>
          <cell r="G482" t="str">
            <v>Cp</v>
          </cell>
          <cell r="H482">
            <v>8</v>
          </cell>
          <cell r="I482" t="str">
            <v>Ton</v>
          </cell>
        </row>
        <row r="483">
          <cell r="A483" t="str">
            <v xml:space="preserve">       4.</v>
          </cell>
          <cell r="C483" t="str">
            <v>Alat Baru                :</v>
          </cell>
          <cell r="D483" t="str">
            <v xml:space="preserve">  a.  Umur Ekonomis</v>
          </cell>
          <cell r="G483" t="str">
            <v>A</v>
          </cell>
          <cell r="H483">
            <v>5</v>
          </cell>
          <cell r="I483" t="str">
            <v>Tahun</v>
          </cell>
        </row>
        <row r="484">
          <cell r="D484" t="str">
            <v xml:space="preserve">  b.  Jam Kerja Dalam 1 Tahun</v>
          </cell>
          <cell r="G484" t="str">
            <v>W</v>
          </cell>
          <cell r="H484">
            <v>2000</v>
          </cell>
          <cell r="I484" t="str">
            <v>Jam</v>
          </cell>
        </row>
        <row r="485">
          <cell r="D485" t="str">
            <v xml:space="preserve">  c.  Harga Alat</v>
          </cell>
          <cell r="G485" t="str">
            <v>B</v>
          </cell>
          <cell r="H485">
            <v>330000000</v>
          </cell>
          <cell r="I485" t="str">
            <v>Rupiah</v>
          </cell>
        </row>
        <row r="486">
          <cell r="A486" t="str">
            <v xml:space="preserve">       5.</v>
          </cell>
          <cell r="C486" t="str">
            <v>Alat Yang Dipakai  :</v>
          </cell>
          <cell r="D486" t="str">
            <v xml:space="preserve">  a.  Umur Ekonomis</v>
          </cell>
          <cell r="G486" t="str">
            <v>A'</v>
          </cell>
          <cell r="H486">
            <v>5</v>
          </cell>
          <cell r="I486" t="str">
            <v>Tahun</v>
          </cell>
          <cell r="J486" t="str">
            <v xml:space="preserve"> Alat Baru</v>
          </cell>
        </row>
        <row r="487">
          <cell r="D487" t="str">
            <v xml:space="preserve">  b.  Jam Kerja Dalam 1 Tahun </v>
          </cell>
          <cell r="G487" t="str">
            <v>W'</v>
          </cell>
          <cell r="H487">
            <v>2000</v>
          </cell>
          <cell r="I487" t="str">
            <v>Jam</v>
          </cell>
          <cell r="J487" t="str">
            <v xml:space="preserve"> Alat Baru</v>
          </cell>
        </row>
        <row r="488">
          <cell r="D488" t="str">
            <v xml:space="preserve">  c.  Harga Alat   (*)</v>
          </cell>
          <cell r="G488" t="str">
            <v>B'</v>
          </cell>
          <cell r="H488">
            <v>330000000</v>
          </cell>
          <cell r="I488" t="str">
            <v>Rupiah</v>
          </cell>
          <cell r="J488" t="str">
            <v xml:space="preserve"> Alat Baru</v>
          </cell>
        </row>
        <row r="490">
          <cell r="A490" t="str">
            <v>B.</v>
          </cell>
          <cell r="C490" t="str">
            <v>BIAYA PASTI PER JAM KERJA</v>
          </cell>
        </row>
        <row r="491">
          <cell r="A491" t="str">
            <v xml:space="preserve">       1.</v>
          </cell>
          <cell r="C491" t="str">
            <v>Nilai Sisa Alat</v>
          </cell>
          <cell r="D491" t="str">
            <v>=  10 % x B</v>
          </cell>
          <cell r="G491" t="str">
            <v>C</v>
          </cell>
          <cell r="H491">
            <v>33000000</v>
          </cell>
          <cell r="I491" t="str">
            <v>Rupiah</v>
          </cell>
        </row>
        <row r="493">
          <cell r="A493" t="str">
            <v xml:space="preserve">       2.</v>
          </cell>
          <cell r="C493" t="str">
            <v>Faktor Angsuran Modal    =</v>
          </cell>
          <cell r="E493" t="str">
            <v>i x (1 + i)^A'</v>
          </cell>
          <cell r="G493" t="str">
            <v>D</v>
          </cell>
          <cell r="H493">
            <v>0.33437970328961514</v>
          </cell>
          <cell r="I493" t="str">
            <v>-</v>
          </cell>
        </row>
        <row r="494">
          <cell r="E494" t="str">
            <v>(1 + i)^A' - 1</v>
          </cell>
        </row>
        <row r="495">
          <cell r="A495" t="str">
            <v xml:space="preserve">       3.</v>
          </cell>
          <cell r="C495" t="str">
            <v>Biaya Pasti per Jam  :</v>
          </cell>
        </row>
        <row r="496">
          <cell r="C496" t="str">
            <v>a.  Biaya Pengembalian Modal  =</v>
          </cell>
          <cell r="E496" t="str">
            <v>( B' - C ) x D</v>
          </cell>
          <cell r="G496" t="str">
            <v>E</v>
          </cell>
          <cell r="H496">
            <v>49655.385938507847</v>
          </cell>
          <cell r="I496" t="str">
            <v>Rupiah</v>
          </cell>
        </row>
        <row r="497">
          <cell r="E497" t="str">
            <v>W'</v>
          </cell>
        </row>
        <row r="499">
          <cell r="C499" t="str">
            <v>b.  Asuransi, dll =</v>
          </cell>
          <cell r="D499">
            <v>2E-3</v>
          </cell>
          <cell r="E499" t="str">
            <v xml:space="preserve">  x   B'</v>
          </cell>
          <cell r="G499" t="str">
            <v>F</v>
          </cell>
          <cell r="H499">
            <v>330</v>
          </cell>
          <cell r="I499" t="str">
            <v>Rupiah</v>
          </cell>
        </row>
        <row r="500">
          <cell r="E500" t="str">
            <v>W'</v>
          </cell>
        </row>
        <row r="502">
          <cell r="C502" t="str">
            <v>Biaya Pasti per Jam             =</v>
          </cell>
          <cell r="E502" t="str">
            <v>( E + F )</v>
          </cell>
          <cell r="G502" t="str">
            <v>G</v>
          </cell>
          <cell r="H502">
            <v>49985.385938507847</v>
          </cell>
          <cell r="I502" t="str">
            <v>Rupiah</v>
          </cell>
        </row>
        <row r="504">
          <cell r="A504" t="str">
            <v>C.</v>
          </cell>
          <cell r="C504" t="str">
            <v>BIAYA OPERASI PER JAM KERJA</v>
          </cell>
        </row>
        <row r="506">
          <cell r="A506" t="str">
            <v xml:space="preserve">       1.</v>
          </cell>
          <cell r="C506" t="str">
            <v xml:space="preserve">Bahan Bakar  =  (0.125-0.175 Ltr/HP/Jam)   x Pw x Ms </v>
          </cell>
          <cell r="G506" t="str">
            <v>H</v>
          </cell>
          <cell r="H506">
            <v>85937.5</v>
          </cell>
          <cell r="I506" t="str">
            <v>Rupiah</v>
          </cell>
        </row>
        <row r="508">
          <cell r="A508" t="str">
            <v xml:space="preserve">       2.</v>
          </cell>
          <cell r="C508" t="str">
            <v>Pelumas         =  (0.01-0.02 Ltr/HP/Jam) x Pw x Mp</v>
          </cell>
          <cell r="G508" t="str">
            <v>I</v>
          </cell>
          <cell r="H508">
            <v>50000</v>
          </cell>
          <cell r="I508" t="str">
            <v>Rupiah</v>
          </cell>
        </row>
        <row r="510">
          <cell r="A510" t="str">
            <v xml:space="preserve">       3.</v>
          </cell>
          <cell r="C510" t="str">
            <v>Perawatan dan</v>
          </cell>
          <cell r="D510" t="str">
            <v>(12,5 % - 17,5 %)  x  B'</v>
          </cell>
          <cell r="G510" t="str">
            <v>K</v>
          </cell>
          <cell r="H510">
            <v>20625</v>
          </cell>
          <cell r="I510" t="str">
            <v>Rupiah</v>
          </cell>
        </row>
        <row r="511">
          <cell r="C511" t="str">
            <v xml:space="preserve">        perbaikan    =</v>
          </cell>
          <cell r="D511" t="str">
            <v>W'</v>
          </cell>
        </row>
        <row r="513">
          <cell r="A513" t="str">
            <v xml:space="preserve">       4.</v>
          </cell>
          <cell r="C513" t="str">
            <v>Operator</v>
          </cell>
          <cell r="D513" t="str">
            <v>=   ( 1  Orang / Jam )  x  U1</v>
          </cell>
          <cell r="G513" t="str">
            <v>L</v>
          </cell>
          <cell r="H513">
            <v>10000</v>
          </cell>
          <cell r="I513" t="str">
            <v>Rupiah</v>
          </cell>
        </row>
        <row r="514">
          <cell r="A514" t="str">
            <v xml:space="preserve">       5.</v>
          </cell>
          <cell r="C514" t="str">
            <v>Pembantu Operator</v>
          </cell>
          <cell r="D514" t="str">
            <v>=   ( 1  Orang / Jam )  x  U2</v>
          </cell>
          <cell r="G514" t="str">
            <v>M</v>
          </cell>
          <cell r="H514">
            <v>6500</v>
          </cell>
          <cell r="I514" t="str">
            <v>Rupiah</v>
          </cell>
        </row>
        <row r="516">
          <cell r="C516" t="str">
            <v>Biaya Operasi per Jam        =</v>
          </cell>
          <cell r="E516" t="str">
            <v>(H+I+K+L+M)</v>
          </cell>
          <cell r="G516" t="str">
            <v>P</v>
          </cell>
          <cell r="H516">
            <v>173062.5</v>
          </cell>
          <cell r="I516" t="str">
            <v>Rupiah</v>
          </cell>
        </row>
        <row r="518">
          <cell r="A518" t="str">
            <v>D.</v>
          </cell>
          <cell r="C518" t="str">
            <v>TOTAL BIAYA SEWA ALAT / JAM   =   ( G + P )</v>
          </cell>
          <cell r="G518" t="str">
            <v>S</v>
          </cell>
          <cell r="H518">
            <v>223047.88593850785</v>
          </cell>
          <cell r="I518" t="str">
            <v>Rupiah</v>
          </cell>
        </row>
        <row r="521">
          <cell r="A521" t="str">
            <v>E.</v>
          </cell>
          <cell r="C521" t="str">
            <v>LAIN - LAIN</v>
          </cell>
        </row>
        <row r="522">
          <cell r="A522" t="str">
            <v xml:space="preserve">       1.</v>
          </cell>
          <cell r="C522" t="str">
            <v>Tingkat Suku Bunga</v>
          </cell>
          <cell r="G522" t="str">
            <v>i</v>
          </cell>
          <cell r="H522">
            <v>20</v>
          </cell>
          <cell r="I522" t="str">
            <v>% / Tahun</v>
          </cell>
        </row>
        <row r="523">
          <cell r="A523" t="str">
            <v xml:space="preserve">       2.</v>
          </cell>
          <cell r="C523" t="str">
            <v>Upah Operator / Sopir / Mekanik</v>
          </cell>
          <cell r="G523" t="str">
            <v>U1</v>
          </cell>
          <cell r="H523">
            <v>10000</v>
          </cell>
          <cell r="I523" t="str">
            <v>Rp./Jam</v>
          </cell>
        </row>
        <row r="524">
          <cell r="A524" t="str">
            <v xml:space="preserve">       3.</v>
          </cell>
          <cell r="C524" t="str">
            <v>Upah Pembantu Operator / Pmb.Sopir / Pmb.Mekanik</v>
          </cell>
          <cell r="G524" t="str">
            <v>U2</v>
          </cell>
          <cell r="H524">
            <v>6500</v>
          </cell>
          <cell r="I524" t="str">
            <v>Rp./Jam</v>
          </cell>
        </row>
        <row r="525">
          <cell r="A525" t="str">
            <v xml:space="preserve">       4.</v>
          </cell>
          <cell r="C525" t="str">
            <v>Bahan Bakar Bensin</v>
          </cell>
          <cell r="G525" t="str">
            <v>Mb</v>
          </cell>
          <cell r="H525">
            <v>6500</v>
          </cell>
          <cell r="I525" t="str">
            <v>Liter</v>
          </cell>
        </row>
        <row r="526">
          <cell r="A526" t="str">
            <v xml:space="preserve">       5.</v>
          </cell>
          <cell r="C526" t="str">
            <v>Bahan Bakar Solar</v>
          </cell>
          <cell r="G526" t="str">
            <v>Ms</v>
          </cell>
          <cell r="H526">
            <v>5500</v>
          </cell>
          <cell r="I526" t="str">
            <v>Liter</v>
          </cell>
        </row>
        <row r="527">
          <cell r="A527" t="str">
            <v xml:space="preserve">       6.</v>
          </cell>
          <cell r="C527" t="str">
            <v>Minyak Pelumas</v>
          </cell>
          <cell r="G527" t="str">
            <v>Mp</v>
          </cell>
          <cell r="H527">
            <v>40000</v>
          </cell>
          <cell r="I527" t="str">
            <v>Liter</v>
          </cell>
        </row>
        <row r="528">
          <cell r="A528" t="str">
            <v xml:space="preserve">       7.</v>
          </cell>
          <cell r="C528" t="str">
            <v>PPN diperhitungkan pada lembar Rekapitulasi</v>
          </cell>
        </row>
        <row r="529">
          <cell r="C529" t="str">
            <v>Biaya Pekerjaan</v>
          </cell>
        </row>
        <row r="1122">
          <cell r="A1122" t="str">
            <v>URAIAN PENGGUNAAN ALAT / ANALISA ALAT</v>
          </cell>
        </row>
        <row r="1125">
          <cell r="A1125" t="str">
            <v>No.</v>
          </cell>
          <cell r="C1125" t="str">
            <v>U R A I A N</v>
          </cell>
          <cell r="G1125" t="str">
            <v>KODE</v>
          </cell>
          <cell r="H1125" t="str">
            <v>KOEF.</v>
          </cell>
          <cell r="I1125" t="str">
            <v>SATUAN</v>
          </cell>
          <cell r="J1125" t="str">
            <v>KET.</v>
          </cell>
        </row>
        <row r="1128">
          <cell r="A1128" t="str">
            <v>A.</v>
          </cell>
          <cell r="C1128" t="str">
            <v>URAIAN PERALATAN</v>
          </cell>
        </row>
        <row r="1129">
          <cell r="A1129" t="str">
            <v xml:space="preserve">       1.</v>
          </cell>
          <cell r="C1129" t="str">
            <v>Jenis Peralatan</v>
          </cell>
          <cell r="G1129" t="str">
            <v>CONCRETE VIBRATOR</v>
          </cell>
          <cell r="J1129" t="str">
            <v>E20</v>
          </cell>
        </row>
        <row r="1130">
          <cell r="A1130" t="str">
            <v xml:space="preserve">       2.</v>
          </cell>
          <cell r="C1130" t="str">
            <v>Tenaga</v>
          </cell>
          <cell r="G1130" t="str">
            <v>Pw</v>
          </cell>
          <cell r="H1130">
            <v>10</v>
          </cell>
          <cell r="I1130" t="str">
            <v>HP</v>
          </cell>
        </row>
        <row r="1131">
          <cell r="A1131" t="str">
            <v xml:space="preserve">       3.</v>
          </cell>
          <cell r="C1131" t="str">
            <v>Kapasitas</v>
          </cell>
          <cell r="G1131" t="str">
            <v>Cp</v>
          </cell>
          <cell r="H1131" t="str">
            <v xml:space="preserve">-  </v>
          </cell>
          <cell r="I1131" t="str">
            <v>-</v>
          </cell>
        </row>
        <row r="1132">
          <cell r="A1132" t="str">
            <v xml:space="preserve">       4.</v>
          </cell>
          <cell r="C1132" t="str">
            <v>Alat Baru                :</v>
          </cell>
          <cell r="D1132" t="str">
            <v xml:space="preserve">  a.  Umur Ekonomis</v>
          </cell>
          <cell r="G1132" t="str">
            <v>A</v>
          </cell>
          <cell r="H1132">
            <v>4</v>
          </cell>
          <cell r="I1132" t="str">
            <v>Tahun</v>
          </cell>
        </row>
        <row r="1133">
          <cell r="D1133" t="str">
            <v xml:space="preserve">  b.  Jam Kerja Dalam 1 Tahun</v>
          </cell>
          <cell r="G1133" t="str">
            <v>W</v>
          </cell>
          <cell r="H1133">
            <v>1000</v>
          </cell>
          <cell r="I1133" t="str">
            <v>Jam</v>
          </cell>
        </row>
        <row r="1134">
          <cell r="D1134" t="str">
            <v xml:space="preserve">  c.  Harga Alat</v>
          </cell>
          <cell r="G1134" t="str">
            <v>B</v>
          </cell>
          <cell r="H1134">
            <v>21120000</v>
          </cell>
          <cell r="I1134" t="str">
            <v>Rupiah</v>
          </cell>
        </row>
        <row r="1135">
          <cell r="A1135" t="str">
            <v xml:space="preserve">       5.</v>
          </cell>
          <cell r="C1135" t="str">
            <v>Alat Yang Dipakai  :</v>
          </cell>
          <cell r="D1135" t="str">
            <v xml:space="preserve">  a.  Umur Ekonomis</v>
          </cell>
          <cell r="G1135" t="str">
            <v>A'</v>
          </cell>
          <cell r="H1135">
            <v>4</v>
          </cell>
          <cell r="I1135" t="str">
            <v>Tahun</v>
          </cell>
          <cell r="J1135" t="str">
            <v xml:space="preserve"> Alat Baru</v>
          </cell>
        </row>
        <row r="1136">
          <cell r="D1136" t="str">
            <v xml:space="preserve">  b.  Jam Kerja Dalam 1 Tahun </v>
          </cell>
          <cell r="G1136" t="str">
            <v>W'</v>
          </cell>
          <cell r="H1136">
            <v>1000</v>
          </cell>
          <cell r="I1136" t="str">
            <v>Jam</v>
          </cell>
          <cell r="J1136" t="str">
            <v xml:space="preserve"> Alat Baru</v>
          </cell>
        </row>
        <row r="1137">
          <cell r="D1137" t="str">
            <v xml:space="preserve">  c.  Harga Alat   (*)</v>
          </cell>
          <cell r="G1137" t="str">
            <v>B'</v>
          </cell>
          <cell r="H1137">
            <v>21120000</v>
          </cell>
          <cell r="I1137" t="str">
            <v>Rupiah</v>
          </cell>
          <cell r="J1137" t="str">
            <v xml:space="preserve"> Alat Baru</v>
          </cell>
        </row>
        <row r="1139">
          <cell r="A1139" t="str">
            <v>B.</v>
          </cell>
          <cell r="C1139" t="str">
            <v>BIAYA PASTI PER JAM KERJA</v>
          </cell>
        </row>
        <row r="1140">
          <cell r="A1140" t="str">
            <v xml:space="preserve">       1.</v>
          </cell>
          <cell r="C1140" t="str">
            <v>Nilai Sisa Alat</v>
          </cell>
          <cell r="D1140" t="str">
            <v>=  10 % x B</v>
          </cell>
          <cell r="G1140" t="str">
            <v>C</v>
          </cell>
          <cell r="H1140">
            <v>2112000</v>
          </cell>
          <cell r="I1140" t="str">
            <v>Rupiah</v>
          </cell>
        </row>
        <row r="1142">
          <cell r="A1142" t="str">
            <v xml:space="preserve">       2.</v>
          </cell>
          <cell r="C1142" t="str">
            <v>Faktor Angsuran Modal    =</v>
          </cell>
          <cell r="E1142" t="str">
            <v>i x (1 + i)^A'</v>
          </cell>
          <cell r="G1142" t="str">
            <v>D</v>
          </cell>
          <cell r="H1142">
            <v>0.38628912071535026</v>
          </cell>
          <cell r="I1142" t="str">
            <v>-</v>
          </cell>
        </row>
        <row r="1143">
          <cell r="E1143" t="str">
            <v>(1 + i)^A' - 1</v>
          </cell>
        </row>
        <row r="1144">
          <cell r="A1144" t="str">
            <v xml:space="preserve">       3.</v>
          </cell>
          <cell r="C1144" t="str">
            <v>Biaya Pasti per Jam  :</v>
          </cell>
        </row>
        <row r="1145">
          <cell r="C1145" t="str">
            <v>a.  Biaya Pengembalian Modal  =</v>
          </cell>
          <cell r="E1145" t="str">
            <v>( B' - C ) x D</v>
          </cell>
          <cell r="G1145" t="str">
            <v>E</v>
          </cell>
          <cell r="H1145">
            <v>7342.5836065573776</v>
          </cell>
          <cell r="I1145" t="str">
            <v>Rupiah</v>
          </cell>
        </row>
        <row r="1146">
          <cell r="E1146" t="str">
            <v>W'</v>
          </cell>
        </row>
        <row r="1148">
          <cell r="C1148" t="str">
            <v>b.  Asuransi, dll =</v>
          </cell>
          <cell r="D1148">
            <v>2E-3</v>
          </cell>
          <cell r="E1148" t="str">
            <v xml:space="preserve">  x   B'</v>
          </cell>
          <cell r="G1148" t="str">
            <v>F</v>
          </cell>
          <cell r="H1148">
            <v>42.24</v>
          </cell>
          <cell r="I1148" t="str">
            <v>Rupiah</v>
          </cell>
        </row>
        <row r="1149">
          <cell r="E1149" t="str">
            <v>W'</v>
          </cell>
        </row>
        <row r="1151">
          <cell r="C1151" t="str">
            <v>Biaya Pasti per Jam             =</v>
          </cell>
          <cell r="E1151" t="str">
            <v>( E + F )</v>
          </cell>
          <cell r="G1151" t="str">
            <v>G</v>
          </cell>
          <cell r="H1151">
            <v>7384.8236065573774</v>
          </cell>
          <cell r="I1151" t="str">
            <v>Rupiah</v>
          </cell>
        </row>
        <row r="1153">
          <cell r="A1153" t="str">
            <v>C.</v>
          </cell>
          <cell r="C1153" t="str">
            <v>BIAYA OPERASI PER JAM KERJA</v>
          </cell>
        </row>
        <row r="1155">
          <cell r="A1155" t="str">
            <v xml:space="preserve">       1.</v>
          </cell>
          <cell r="C1155" t="str">
            <v xml:space="preserve">Bahan Bakar  =  (0.125-0.175 Ltr/HP/Jam)   x Pw x Ms </v>
          </cell>
          <cell r="G1155" t="str">
            <v>H</v>
          </cell>
          <cell r="H1155">
            <v>6875</v>
          </cell>
          <cell r="I1155" t="str">
            <v>Rupiah</v>
          </cell>
        </row>
        <row r="1157">
          <cell r="A1157" t="str">
            <v xml:space="preserve">       2.</v>
          </cell>
          <cell r="C1157" t="str">
            <v>Pelumas         =  (0.01-0.02 Ltr/HP/Jam) x Pw x Mp</v>
          </cell>
          <cell r="G1157" t="str">
            <v>I</v>
          </cell>
          <cell r="H1157">
            <v>4000</v>
          </cell>
          <cell r="I1157" t="str">
            <v>Rupiah</v>
          </cell>
        </row>
        <row r="1159">
          <cell r="A1159" t="str">
            <v xml:space="preserve">       3.</v>
          </cell>
          <cell r="C1159" t="str">
            <v>Perawatan dan</v>
          </cell>
          <cell r="D1159" t="str">
            <v>(12,5 % - 17,5 %)  x  B'</v>
          </cell>
          <cell r="G1159" t="str">
            <v>K</v>
          </cell>
          <cell r="H1159">
            <v>2640</v>
          </cell>
          <cell r="I1159" t="str">
            <v>Rupiah</v>
          </cell>
        </row>
        <row r="1160">
          <cell r="C1160" t="str">
            <v xml:space="preserve">        perbaikan    =</v>
          </cell>
          <cell r="D1160" t="str">
            <v>W'</v>
          </cell>
        </row>
        <row r="1162">
          <cell r="A1162" t="str">
            <v xml:space="preserve">       4.</v>
          </cell>
          <cell r="C1162" t="str">
            <v>Operator</v>
          </cell>
          <cell r="D1162" t="str">
            <v>=   ( 1  Orang / Jam )  x  U1</v>
          </cell>
          <cell r="G1162" t="str">
            <v>L</v>
          </cell>
          <cell r="H1162">
            <v>10000</v>
          </cell>
          <cell r="I1162" t="str">
            <v>Rupiah</v>
          </cell>
        </row>
        <row r="1163">
          <cell r="A1163" t="str">
            <v xml:space="preserve">       5.</v>
          </cell>
          <cell r="C1163" t="str">
            <v>Pembantu Operator</v>
          </cell>
          <cell r="D1163" t="str">
            <v>=   ( 1  Orang / Jam )  x  U2</v>
          </cell>
          <cell r="G1163" t="str">
            <v>M</v>
          </cell>
          <cell r="H1163">
            <v>6500</v>
          </cell>
          <cell r="I1163" t="str">
            <v>Rupiah</v>
          </cell>
        </row>
        <row r="1165">
          <cell r="C1165" t="str">
            <v>Biaya Operasi per Jam        =</v>
          </cell>
          <cell r="E1165" t="str">
            <v>(H+I+K+L+M)</v>
          </cell>
          <cell r="G1165" t="str">
            <v>P</v>
          </cell>
          <cell r="H1165">
            <v>30015</v>
          </cell>
          <cell r="I1165" t="str">
            <v>Rupiah</v>
          </cell>
        </row>
        <row r="1167">
          <cell r="A1167" t="str">
            <v>D.</v>
          </cell>
          <cell r="C1167" t="str">
            <v>TOTAL BIAYA SEWA ALAT / JAM   =   ( G + P )</v>
          </cell>
          <cell r="G1167" t="str">
            <v>S</v>
          </cell>
          <cell r="H1167">
            <v>37399.82360655738</v>
          </cell>
          <cell r="I1167" t="str">
            <v>Rupiah</v>
          </cell>
        </row>
        <row r="1170">
          <cell r="A1170" t="str">
            <v>E.</v>
          </cell>
          <cell r="C1170" t="str">
            <v>LAIN - LAIN</v>
          </cell>
        </row>
        <row r="1171">
          <cell r="A1171" t="str">
            <v xml:space="preserve">       1.</v>
          </cell>
          <cell r="C1171" t="str">
            <v>Tingkat Suku Bunga</v>
          </cell>
          <cell r="G1171" t="str">
            <v>i</v>
          </cell>
          <cell r="H1171">
            <v>20</v>
          </cell>
          <cell r="I1171" t="str">
            <v>% / Tahun</v>
          </cell>
        </row>
        <row r="1172">
          <cell r="A1172" t="str">
            <v xml:space="preserve">       2.</v>
          </cell>
          <cell r="C1172" t="str">
            <v>Upah Operator / Sopir</v>
          </cell>
          <cell r="G1172" t="str">
            <v>U1</v>
          </cell>
          <cell r="H1172">
            <v>10000</v>
          </cell>
          <cell r="I1172" t="str">
            <v>Rp./Jam</v>
          </cell>
        </row>
        <row r="1173">
          <cell r="A1173" t="str">
            <v xml:space="preserve">       3.</v>
          </cell>
          <cell r="C1173" t="str">
            <v>Upah Pembantu Operator / Pmb.Sopir</v>
          </cell>
          <cell r="G1173" t="str">
            <v>U2</v>
          </cell>
          <cell r="H1173">
            <v>6500</v>
          </cell>
          <cell r="I1173" t="str">
            <v>Rp./Jam</v>
          </cell>
        </row>
        <row r="1174">
          <cell r="A1174" t="str">
            <v xml:space="preserve">       4.</v>
          </cell>
          <cell r="C1174" t="str">
            <v>Bahan Bakar Bensin</v>
          </cell>
          <cell r="G1174" t="str">
            <v>Mb</v>
          </cell>
          <cell r="H1174">
            <v>6500</v>
          </cell>
          <cell r="I1174" t="str">
            <v>Liter</v>
          </cell>
        </row>
        <row r="1175">
          <cell r="A1175" t="str">
            <v xml:space="preserve">       5.</v>
          </cell>
          <cell r="C1175" t="str">
            <v>Bahan Bakar Solar</v>
          </cell>
          <cell r="G1175" t="str">
            <v>Ms</v>
          </cell>
          <cell r="H1175">
            <v>5500</v>
          </cell>
          <cell r="I1175" t="str">
            <v>Liter</v>
          </cell>
        </row>
        <row r="1176">
          <cell r="A1176" t="str">
            <v xml:space="preserve">       6.</v>
          </cell>
          <cell r="C1176" t="str">
            <v>Minyak Pelumas</v>
          </cell>
          <cell r="G1176" t="str">
            <v>Mp</v>
          </cell>
          <cell r="H1176">
            <v>40000</v>
          </cell>
          <cell r="I1176" t="str">
            <v>Liter</v>
          </cell>
        </row>
        <row r="1177">
          <cell r="A1177" t="str">
            <v xml:space="preserve">       7.</v>
          </cell>
          <cell r="C1177" t="str">
            <v>PPN diperhitungkan pada lembar Rekapitulasi</v>
          </cell>
        </row>
        <row r="1178">
          <cell r="C1178" t="str">
            <v>Biaya Pekerjaan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"/>
      <sheetName val="Rekap"/>
      <sheetName val="BOQ"/>
      <sheetName val="Div.1.1"/>
      <sheetName val="Div3 (2)"/>
      <sheetName val="Div7(1)"/>
      <sheetName val="Mobilisasi"/>
      <sheetName val="TIME SCHEDULE"/>
      <sheetName val="Sub Kontrak"/>
      <sheetName val="MPU"/>
      <sheetName val="Harga bhn dan upah"/>
      <sheetName val="Hrg ALAT"/>
      <sheetName val="SPEK TEKNIS"/>
      <sheetName val="Alat dan Bah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>
        <row r="9">
          <cell r="F9">
            <v>6986.5079365079364</v>
          </cell>
        </row>
        <row r="60">
          <cell r="F60">
            <v>8600</v>
          </cell>
        </row>
        <row r="72">
          <cell r="F72">
            <v>750000</v>
          </cell>
        </row>
        <row r="86">
          <cell r="F86">
            <v>18000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XXXXX"/>
      <sheetName val="Time (Laporan)"/>
      <sheetName val="Rab (Add)"/>
      <sheetName val="Harga"/>
      <sheetName val="Analisa"/>
      <sheetName val="Rab"/>
      <sheetName val="Rekap"/>
      <sheetName val="Tim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D14">
            <v>40000</v>
          </cell>
        </row>
        <row r="17">
          <cell r="D17">
            <v>33500</v>
          </cell>
        </row>
        <row r="18">
          <cell r="D18">
            <v>40000</v>
          </cell>
        </row>
        <row r="21">
          <cell r="D21">
            <v>70000</v>
          </cell>
        </row>
        <row r="22">
          <cell r="D22">
            <v>75000</v>
          </cell>
        </row>
        <row r="27">
          <cell r="D27">
            <v>450</v>
          </cell>
        </row>
        <row r="28">
          <cell r="D28">
            <v>100000</v>
          </cell>
        </row>
        <row r="29">
          <cell r="D29">
            <v>65000</v>
          </cell>
        </row>
        <row r="30">
          <cell r="D30">
            <v>5000</v>
          </cell>
        </row>
        <row r="31">
          <cell r="D31">
            <v>4000</v>
          </cell>
        </row>
        <row r="33">
          <cell r="D33">
            <v>350</v>
          </cell>
        </row>
        <row r="34">
          <cell r="D34">
            <v>6000</v>
          </cell>
        </row>
        <row r="37">
          <cell r="D37">
            <v>22000</v>
          </cell>
        </row>
        <row r="38">
          <cell r="D38">
            <v>18000</v>
          </cell>
        </row>
        <row r="39">
          <cell r="D39">
            <v>10000</v>
          </cell>
        </row>
        <row r="41">
          <cell r="D41">
            <v>8500</v>
          </cell>
        </row>
        <row r="42">
          <cell r="D42">
            <v>12000</v>
          </cell>
        </row>
        <row r="43">
          <cell r="D43">
            <v>59000</v>
          </cell>
        </row>
        <row r="44">
          <cell r="D44">
            <v>35000</v>
          </cell>
        </row>
        <row r="45">
          <cell r="D45">
            <v>13500</v>
          </cell>
        </row>
        <row r="46">
          <cell r="D46">
            <v>9000</v>
          </cell>
        </row>
        <row r="47">
          <cell r="D47">
            <v>8000</v>
          </cell>
        </row>
        <row r="49">
          <cell r="D49">
            <v>25000</v>
          </cell>
        </row>
        <row r="50">
          <cell r="D50">
            <v>47500</v>
          </cell>
        </row>
        <row r="51">
          <cell r="D51">
            <v>47500</v>
          </cell>
        </row>
        <row r="52">
          <cell r="D52">
            <v>47500</v>
          </cell>
        </row>
        <row r="53">
          <cell r="D53">
            <v>47000</v>
          </cell>
        </row>
        <row r="54">
          <cell r="D54">
            <v>1800</v>
          </cell>
        </row>
        <row r="55">
          <cell r="D55">
            <v>80000</v>
          </cell>
        </row>
        <row r="56">
          <cell r="D56">
            <v>75000</v>
          </cell>
        </row>
        <row r="57">
          <cell r="D57">
            <v>70000</v>
          </cell>
        </row>
        <row r="58">
          <cell r="D58">
            <v>2500000</v>
          </cell>
        </row>
        <row r="59">
          <cell r="D59">
            <v>2200000</v>
          </cell>
        </row>
        <row r="60">
          <cell r="D60">
            <v>1650000</v>
          </cell>
        </row>
        <row r="61">
          <cell r="D61">
            <v>1400000</v>
          </cell>
        </row>
        <row r="62">
          <cell r="D62">
            <v>120000</v>
          </cell>
        </row>
        <row r="63">
          <cell r="D63">
            <v>2500000</v>
          </cell>
        </row>
        <row r="68">
          <cell r="D68">
            <v>3000</v>
          </cell>
        </row>
        <row r="69">
          <cell r="D69">
            <v>17000</v>
          </cell>
        </row>
        <row r="70">
          <cell r="D70">
            <v>3000</v>
          </cell>
        </row>
        <row r="71">
          <cell r="D71">
            <v>4000</v>
          </cell>
        </row>
        <row r="72">
          <cell r="D72">
            <v>15000</v>
          </cell>
        </row>
        <row r="73">
          <cell r="D73">
            <v>7500</v>
          </cell>
        </row>
        <row r="74">
          <cell r="D74">
            <v>8000</v>
          </cell>
        </row>
        <row r="75">
          <cell r="D75">
            <v>100</v>
          </cell>
        </row>
        <row r="76">
          <cell r="D76">
            <v>150</v>
          </cell>
        </row>
        <row r="77">
          <cell r="D77">
            <v>200</v>
          </cell>
        </row>
        <row r="78">
          <cell r="D78">
            <v>30000</v>
          </cell>
        </row>
        <row r="79">
          <cell r="D79">
            <v>75000</v>
          </cell>
        </row>
        <row r="82">
          <cell r="D82">
            <v>45000</v>
          </cell>
        </row>
        <row r="83">
          <cell r="D83">
            <v>30000</v>
          </cell>
        </row>
        <row r="84">
          <cell r="D84">
            <v>20000</v>
          </cell>
        </row>
        <row r="85">
          <cell r="D85">
            <v>15000</v>
          </cell>
        </row>
        <row r="87">
          <cell r="D87">
            <v>32000</v>
          </cell>
        </row>
        <row r="88">
          <cell r="D88">
            <v>3000</v>
          </cell>
        </row>
        <row r="89">
          <cell r="D89">
            <v>98000</v>
          </cell>
        </row>
        <row r="90">
          <cell r="D90">
            <v>30000</v>
          </cell>
        </row>
        <row r="91">
          <cell r="D91">
            <v>27500</v>
          </cell>
        </row>
      </sheetData>
      <sheetData sheetId="5">
        <row r="11">
          <cell r="L11">
            <v>26062</v>
          </cell>
        </row>
        <row r="17">
          <cell r="L17">
            <v>68237</v>
          </cell>
        </row>
        <row r="23">
          <cell r="L23">
            <v>52125</v>
          </cell>
        </row>
        <row r="29">
          <cell r="L29">
            <v>7912</v>
          </cell>
        </row>
        <row r="36">
          <cell r="L36">
            <v>64425</v>
          </cell>
        </row>
        <row r="43">
          <cell r="L43">
            <v>46425</v>
          </cell>
        </row>
        <row r="55">
          <cell r="L55">
            <v>265912</v>
          </cell>
        </row>
        <row r="65">
          <cell r="L65">
            <v>119898</v>
          </cell>
        </row>
        <row r="74">
          <cell r="L74">
            <v>84273</v>
          </cell>
        </row>
        <row r="86">
          <cell r="L86">
            <v>443360</v>
          </cell>
        </row>
        <row r="97">
          <cell r="L97">
            <v>63968</v>
          </cell>
        </row>
        <row r="108">
          <cell r="L108">
            <v>58508</v>
          </cell>
        </row>
        <row r="119">
          <cell r="L119">
            <v>56508</v>
          </cell>
        </row>
        <row r="130">
          <cell r="L130">
            <v>113012</v>
          </cell>
        </row>
        <row r="141">
          <cell r="L141">
            <v>148999</v>
          </cell>
        </row>
        <row r="151">
          <cell r="L151">
            <v>30350</v>
          </cell>
        </row>
        <row r="161">
          <cell r="L161">
            <v>27870</v>
          </cell>
        </row>
        <row r="173">
          <cell r="L173">
            <v>22906</v>
          </cell>
        </row>
        <row r="179">
          <cell r="L179">
            <v>54450</v>
          </cell>
        </row>
        <row r="191">
          <cell r="L191">
            <v>146359</v>
          </cell>
        </row>
        <row r="206">
          <cell r="L206">
            <v>73774</v>
          </cell>
        </row>
        <row r="221">
          <cell r="L221">
            <v>73774</v>
          </cell>
        </row>
        <row r="236">
          <cell r="L236">
            <v>73274</v>
          </cell>
        </row>
        <row r="251">
          <cell r="L251">
            <v>83630</v>
          </cell>
        </row>
        <row r="265">
          <cell r="L265">
            <v>3459250</v>
          </cell>
        </row>
        <row r="278">
          <cell r="L278">
            <v>3699062</v>
          </cell>
        </row>
        <row r="287">
          <cell r="L287">
            <v>268975</v>
          </cell>
        </row>
        <row r="297">
          <cell r="L297">
            <v>343975</v>
          </cell>
        </row>
        <row r="309">
          <cell r="L309">
            <v>209925</v>
          </cell>
        </row>
        <row r="321">
          <cell r="L321">
            <v>194600</v>
          </cell>
        </row>
        <row r="331">
          <cell r="L331">
            <v>339750</v>
          </cell>
        </row>
        <row r="341">
          <cell r="L341">
            <v>133525</v>
          </cell>
        </row>
        <row r="350">
          <cell r="L350">
            <v>87320</v>
          </cell>
        </row>
        <row r="361">
          <cell r="L361">
            <v>87665</v>
          </cell>
        </row>
        <row r="371">
          <cell r="L371">
            <v>118997</v>
          </cell>
        </row>
        <row r="381">
          <cell r="L381">
            <v>55997</v>
          </cell>
        </row>
        <row r="392">
          <cell r="L392">
            <v>66452</v>
          </cell>
        </row>
        <row r="402">
          <cell r="L402">
            <v>22055</v>
          </cell>
        </row>
        <row r="413">
          <cell r="L413">
            <v>81365</v>
          </cell>
        </row>
        <row r="423">
          <cell r="L423">
            <v>47025</v>
          </cell>
        </row>
        <row r="437">
          <cell r="L437">
            <v>15042</v>
          </cell>
        </row>
        <row r="448">
          <cell r="L448">
            <v>8334</v>
          </cell>
        </row>
        <row r="462">
          <cell r="L462">
            <v>22716</v>
          </cell>
        </row>
        <row r="469">
          <cell r="L469">
            <v>4937</v>
          </cell>
        </row>
        <row r="476">
          <cell r="L476">
            <v>527016</v>
          </cell>
        </row>
        <row r="484">
          <cell r="L484">
            <v>28062</v>
          </cell>
        </row>
        <row r="500">
          <cell r="L500">
            <v>561150</v>
          </cell>
        </row>
        <row r="518">
          <cell r="L518">
            <v>12452</v>
          </cell>
        </row>
        <row r="532">
          <cell r="L532">
            <v>870250</v>
          </cell>
        </row>
        <row r="537">
          <cell r="L537">
            <v>134000</v>
          </cell>
        </row>
        <row r="547">
          <cell r="L547">
            <v>1151562</v>
          </cell>
        </row>
        <row r="556">
          <cell r="L556">
            <v>2181003</v>
          </cell>
        </row>
        <row r="564">
          <cell r="L564">
            <v>2814686</v>
          </cell>
        </row>
        <row r="572">
          <cell r="L572">
            <v>2593289</v>
          </cell>
        </row>
        <row r="580">
          <cell r="L580">
            <v>2597494</v>
          </cell>
        </row>
        <row r="588">
          <cell r="L588">
            <v>2988736</v>
          </cell>
        </row>
        <row r="596">
          <cell r="L596">
            <v>1914890</v>
          </cell>
        </row>
        <row r="604">
          <cell r="L604">
            <v>2680314</v>
          </cell>
        </row>
        <row r="612">
          <cell r="L612">
            <v>2412970</v>
          </cell>
        </row>
        <row r="620">
          <cell r="L620">
            <v>2825226</v>
          </cell>
        </row>
        <row r="629">
          <cell r="L629">
            <v>3544330</v>
          </cell>
        </row>
        <row r="638">
          <cell r="L638">
            <v>3038281</v>
          </cell>
        </row>
        <row r="646">
          <cell r="L646">
            <v>2935120</v>
          </cell>
        </row>
        <row r="654">
          <cell r="L654">
            <v>1225</v>
          </cell>
        </row>
        <row r="663">
          <cell r="L663">
            <v>9565</v>
          </cell>
        </row>
        <row r="670">
          <cell r="L670">
            <v>3725</v>
          </cell>
        </row>
        <row r="676">
          <cell r="L676">
            <v>70750</v>
          </cell>
        </row>
        <row r="685">
          <cell r="L685">
            <v>2789241</v>
          </cell>
        </row>
        <row r="695">
          <cell r="L695">
            <v>28310</v>
          </cell>
        </row>
        <row r="706">
          <cell r="L706">
            <v>84237</v>
          </cell>
        </row>
        <row r="717">
          <cell r="L717">
            <v>23437</v>
          </cell>
        </row>
        <row r="728">
          <cell r="L728">
            <v>91900</v>
          </cell>
        </row>
        <row r="738">
          <cell r="L738">
            <v>105910</v>
          </cell>
        </row>
      </sheetData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mija"/>
      <sheetName val="rumput"/>
      <sheetName val="A"/>
      <sheetName val="Sheet1"/>
      <sheetName val="Rincian"/>
      <sheetName val="Analisa Harga"/>
    </sheetNames>
    <sheetDataSet>
      <sheetData sheetId="0"/>
      <sheetData sheetId="1"/>
      <sheetData sheetId="2"/>
      <sheetData sheetId="3">
        <row r="3">
          <cell r="X3" t="str">
            <v>ANALISA HARGA SATUAN</v>
          </cell>
        </row>
        <row r="8">
          <cell r="X8" t="str">
            <v>KEGIATAN</v>
          </cell>
          <cell r="AA8" t="str">
            <v>: PEMELIHARAAN JALAN DI KABUPATEN INDRAGIRI HULU</v>
          </cell>
        </row>
        <row r="9">
          <cell r="X9" t="str">
            <v>No. PAKET KONTRAK</v>
          </cell>
          <cell r="AA9" t="str">
            <v>: -</v>
          </cell>
        </row>
        <row r="10">
          <cell r="X10" t="str">
            <v>NAMA PAKET</v>
          </cell>
          <cell r="AA10" t="str">
            <v xml:space="preserve">: PEMELIHARAAN JALAN CERENTI - SIMPANG JAPURA </v>
          </cell>
        </row>
        <row r="11">
          <cell r="X11" t="str">
            <v>PROP / KAB / KODYA</v>
          </cell>
          <cell r="AA11" t="str">
            <v>: RIAU</v>
          </cell>
        </row>
        <row r="12">
          <cell r="X12" t="str">
            <v>ITEM PEMBAYARAN NO.</v>
          </cell>
          <cell r="AA12" t="str">
            <v>:  10.1 (3)</v>
          </cell>
        </row>
        <row r="13">
          <cell r="X13" t="str">
            <v>JENIS PEKERJAAN</v>
          </cell>
          <cell r="AA13" t="str">
            <v>:  Pemeliharaan Rutin Selokan, Saluran Air, Galian dan Timbunan</v>
          </cell>
        </row>
        <row r="14">
          <cell r="X14" t="str">
            <v>SATUAN PEMBAYARAN</v>
          </cell>
          <cell r="AA14" t="str">
            <v xml:space="preserve">:  Ls </v>
          </cell>
        </row>
        <row r="17">
          <cell r="AC17" t="str">
            <v>PERKIRAAN</v>
          </cell>
          <cell r="AD17" t="str">
            <v>HARGA</v>
          </cell>
          <cell r="AE17" t="str">
            <v>JUMLAH</v>
          </cell>
        </row>
        <row r="18">
          <cell r="X18" t="str">
            <v>NO.</v>
          </cell>
          <cell r="Z18" t="str">
            <v>JENIS PEKERJAAN</v>
          </cell>
          <cell r="AB18" t="str">
            <v>SATUAN</v>
          </cell>
          <cell r="AC18" t="str">
            <v>KUANTITAS</v>
          </cell>
          <cell r="AD18" t="str">
            <v>SATUAN</v>
          </cell>
          <cell r="AE18" t="str">
            <v>HARGA</v>
          </cell>
        </row>
        <row r="19">
          <cell r="AD19" t="str">
            <v>(Rp.)</v>
          </cell>
          <cell r="AE19" t="str">
            <v>(Rp.)</v>
          </cell>
        </row>
        <row r="22">
          <cell r="X22" t="str">
            <v>10.1(3)a</v>
          </cell>
          <cell r="Z22" t="str">
            <v>Pembersihan Selokan Samping</v>
          </cell>
          <cell r="AB22" t="str">
            <v>M2</v>
          </cell>
          <cell r="AC22">
            <v>5000</v>
          </cell>
          <cell r="AD22">
            <v>5000</v>
          </cell>
          <cell r="AG22">
            <v>25000000</v>
          </cell>
        </row>
        <row r="23">
          <cell r="Z23" t="str">
            <v>Diperkeras</v>
          </cell>
        </row>
        <row r="27">
          <cell r="X27" t="str">
            <v>10.1(3)c</v>
          </cell>
          <cell r="Z27" t="str">
            <v>Pembersihan Gorong - gorong</v>
          </cell>
          <cell r="AB27" t="str">
            <v>Bh</v>
          </cell>
          <cell r="AC27">
            <v>0</v>
          </cell>
          <cell r="AD27">
            <v>134090</v>
          </cell>
          <cell r="AG27">
            <v>0</v>
          </cell>
        </row>
        <row r="53">
          <cell r="Z53" t="str">
            <v>Jumlah Harga Pekerjaan</v>
          </cell>
          <cell r="AF53">
            <v>25000000</v>
          </cell>
        </row>
        <row r="73">
          <cell r="X73" t="str">
            <v>ANALISA HARGA SATUAN</v>
          </cell>
        </row>
        <row r="77">
          <cell r="X77" t="str">
            <v>KEGIATAN</v>
          </cell>
          <cell r="AA77" t="str">
            <v>: PEMELIHARAAN JALAN DI KABUPATEN INDRAGIRI HULU</v>
          </cell>
        </row>
        <row r="78">
          <cell r="X78" t="str">
            <v>No. PAKET KONTRAK</v>
          </cell>
          <cell r="AA78" t="str">
            <v>: -</v>
          </cell>
        </row>
        <row r="79">
          <cell r="X79" t="str">
            <v>NAMA PAKET</v>
          </cell>
          <cell r="AA79" t="str">
            <v xml:space="preserve">: PEMELIHARAAN JALAN CERENTI - SIMPANG JAPURA </v>
          </cell>
        </row>
        <row r="80">
          <cell r="X80" t="str">
            <v>PROP / KAB / KODYA</v>
          </cell>
          <cell r="AA80" t="str">
            <v>: RIAU</v>
          </cell>
        </row>
        <row r="81">
          <cell r="X81" t="str">
            <v>ITEM PEMBAYARAN NO.</v>
          </cell>
          <cell r="AA81" t="str">
            <v>:  10.1 (2)</v>
          </cell>
        </row>
        <row r="82">
          <cell r="X82" t="str">
            <v>JENIS PEKERJAAN</v>
          </cell>
          <cell r="AA82" t="str">
            <v>: Pemeliharaan Rutin Bahu Jalan</v>
          </cell>
        </row>
        <row r="83">
          <cell r="X83" t="str">
            <v>SATUAN PEMBAYARAN</v>
          </cell>
          <cell r="AA83" t="str">
            <v xml:space="preserve">:  Ls </v>
          </cell>
        </row>
        <row r="86">
          <cell r="AC86" t="str">
            <v>PERKIRAAN</v>
          </cell>
          <cell r="AD86" t="str">
            <v>HARGA</v>
          </cell>
          <cell r="AE86" t="str">
            <v>JUMLAH</v>
          </cell>
        </row>
        <row r="87">
          <cell r="X87" t="str">
            <v>NO.</v>
          </cell>
          <cell r="Z87" t="str">
            <v>JENIS PEKERJAAN</v>
          </cell>
          <cell r="AB87" t="str">
            <v>SATUAN</v>
          </cell>
          <cell r="AC87" t="str">
            <v>KUANTITAS</v>
          </cell>
          <cell r="AD87" t="str">
            <v>SATUAN</v>
          </cell>
          <cell r="AE87" t="str">
            <v>HARGA</v>
          </cell>
        </row>
        <row r="88">
          <cell r="AD88" t="str">
            <v>(Rp.)</v>
          </cell>
          <cell r="AE88" t="str">
            <v>(Rp.)</v>
          </cell>
        </row>
        <row r="91">
          <cell r="X91" t="str">
            <v>10.1.(2)a</v>
          </cell>
          <cell r="Z91" t="str">
            <v>Pemotongan Rumput pada Bahu Jalan</v>
          </cell>
          <cell r="AB91" t="str">
            <v>M2</v>
          </cell>
          <cell r="AC91">
            <v>38000</v>
          </cell>
          <cell r="AD91">
            <v>216.22618416666668</v>
          </cell>
          <cell r="AG91">
            <v>8216594.998333334</v>
          </cell>
        </row>
        <row r="92">
          <cell r="Z92" t="str">
            <v>2X Pelaksanaan dalam Kontrak</v>
          </cell>
        </row>
        <row r="110">
          <cell r="Z110" t="str">
            <v>Jumlah Harga Pekerjaan dibulatkan</v>
          </cell>
          <cell r="AG110">
            <v>8216594.998333334</v>
          </cell>
        </row>
        <row r="134">
          <cell r="X134" t="str">
            <v>ANALISA HARGA SATUAN</v>
          </cell>
        </row>
        <row r="138">
          <cell r="X138" t="str">
            <v>KEGIATAN</v>
          </cell>
          <cell r="AA138" t="str">
            <v>: PEMELIHARAAN JALAN DI KABUPATEN INDRAGIRI HULU</v>
          </cell>
        </row>
        <row r="139">
          <cell r="X139" t="str">
            <v>No. PAKET KONTRAK</v>
          </cell>
          <cell r="AA139" t="str">
            <v>: -</v>
          </cell>
        </row>
        <row r="140">
          <cell r="X140" t="str">
            <v>NAMA PAKET</v>
          </cell>
          <cell r="AA140" t="str">
            <v xml:space="preserve">: PEMELIHARAAN JALAN CERENTI - SIMPANG JAPURA </v>
          </cell>
        </row>
        <row r="141">
          <cell r="X141" t="str">
            <v>PROP / KAB / KODYA</v>
          </cell>
          <cell r="AA141" t="str">
            <v>: RIAU</v>
          </cell>
        </row>
        <row r="142">
          <cell r="X142" t="str">
            <v>ITEM PEMBAYARAN NO.</v>
          </cell>
          <cell r="AA142" t="str">
            <v>:  10.1 (5)</v>
          </cell>
        </row>
        <row r="143">
          <cell r="X143" t="str">
            <v>JENIS PEKERJAAN</v>
          </cell>
          <cell r="AA143" t="str">
            <v>:  Pemeliharaan Rutin Perlengkapan Jalan</v>
          </cell>
        </row>
        <row r="144">
          <cell r="X144" t="str">
            <v>SATUAN PEMBAYARAN</v>
          </cell>
          <cell r="AA144" t="str">
            <v xml:space="preserve">:  Ls </v>
          </cell>
        </row>
        <row r="147">
          <cell r="AC147" t="str">
            <v>PERKIRAAN</v>
          </cell>
          <cell r="AD147" t="str">
            <v>HARGA</v>
          </cell>
          <cell r="AE147" t="str">
            <v>JUMLAH</v>
          </cell>
        </row>
        <row r="148">
          <cell r="X148" t="str">
            <v>NO.</v>
          </cell>
          <cell r="Z148" t="str">
            <v>JENIS PEKERJAAN</v>
          </cell>
          <cell r="AB148" t="str">
            <v>SATUAN</v>
          </cell>
          <cell r="AC148" t="str">
            <v>KUANTITAS</v>
          </cell>
          <cell r="AD148" t="str">
            <v>SATUAN</v>
          </cell>
          <cell r="AE148" t="str">
            <v>HARGA</v>
          </cell>
        </row>
        <row r="149">
          <cell r="AD149" t="str">
            <v>(Rp.)</v>
          </cell>
          <cell r="AE149" t="str">
            <v>(Rp.)</v>
          </cell>
        </row>
        <row r="152">
          <cell r="X152" t="str">
            <v>10.1.5(b)</v>
          </cell>
          <cell r="Z152" t="str">
            <v>Pembersihan Jembatan</v>
          </cell>
          <cell r="AB152" t="e">
            <v>#REF!</v>
          </cell>
          <cell r="AC152" t="e">
            <v>#REF!</v>
          </cell>
          <cell r="AD152" t="e">
            <v>#REF!</v>
          </cell>
          <cell r="AG152" t="e">
            <v>#REF!</v>
          </cell>
        </row>
        <row r="173">
          <cell r="Z173" t="str">
            <v>Jumlah Harga Pekerjaan</v>
          </cell>
          <cell r="AG173" t="e">
            <v>#REF!</v>
          </cell>
        </row>
      </sheetData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224185.80025196241</v>
          </cell>
        </row>
        <row r="231">
          <cell r="U231">
            <v>1125424.881976157</v>
          </cell>
        </row>
        <row r="410">
          <cell r="U410">
            <v>850960.93039626942</v>
          </cell>
        </row>
        <row r="589">
          <cell r="U589">
            <v>942417.16153620393</v>
          </cell>
        </row>
        <row r="768">
          <cell r="U768">
            <v>5935.6610831612852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VER"/>
      <sheetName val="COV TAWAR"/>
      <sheetName val="REKAP"/>
      <sheetName val="RAB"/>
      <sheetName val="ANALISA"/>
      <sheetName val="UPAH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H23">
            <v>72450</v>
          </cell>
        </row>
        <row r="39">
          <cell r="H39">
            <v>2902130</v>
          </cell>
        </row>
        <row r="60">
          <cell r="H60">
            <v>78757</v>
          </cell>
        </row>
        <row r="77">
          <cell r="H77">
            <v>2960450</v>
          </cell>
        </row>
        <row r="88">
          <cell r="H88">
            <v>3147125</v>
          </cell>
        </row>
        <row r="110">
          <cell r="H110">
            <v>179608.33333333331</v>
          </cell>
        </row>
        <row r="119">
          <cell r="H119">
            <v>60390</v>
          </cell>
        </row>
        <row r="131">
          <cell r="H131">
            <v>274396.33333333331</v>
          </cell>
        </row>
        <row r="158">
          <cell r="H158">
            <v>133090</v>
          </cell>
        </row>
        <row r="182">
          <cell r="H182">
            <v>69246.400000000009</v>
          </cell>
        </row>
        <row r="228">
          <cell r="H228">
            <v>578296.6</v>
          </cell>
        </row>
        <row r="243">
          <cell r="H243">
            <v>620287.80000000005</v>
          </cell>
        </row>
        <row r="264">
          <cell r="H264">
            <v>23652.809999999998</v>
          </cell>
        </row>
        <row r="284">
          <cell r="H284">
            <v>21396.489999999998</v>
          </cell>
        </row>
        <row r="310">
          <cell r="H310">
            <v>29465.285714285717</v>
          </cell>
        </row>
        <row r="339">
          <cell r="H339">
            <v>44647.5</v>
          </cell>
        </row>
        <row r="349">
          <cell r="H349">
            <v>16588</v>
          </cell>
        </row>
        <row r="382">
          <cell r="H382">
            <v>4395</v>
          </cell>
        </row>
        <row r="394">
          <cell r="H394">
            <v>2530</v>
          </cell>
        </row>
        <row r="433">
          <cell r="H433">
            <v>97821</v>
          </cell>
        </row>
        <row r="552">
          <cell r="H552">
            <v>2503210</v>
          </cell>
        </row>
        <row r="560">
          <cell r="H560">
            <v>2542648</v>
          </cell>
        </row>
        <row r="568">
          <cell r="H568">
            <v>4212190</v>
          </cell>
        </row>
        <row r="578">
          <cell r="H578">
            <v>10746.5</v>
          </cell>
        </row>
        <row r="590">
          <cell r="H590">
            <v>14941.5</v>
          </cell>
        </row>
        <row r="609">
          <cell r="H609">
            <v>16744.5</v>
          </cell>
        </row>
      </sheetData>
      <sheetData sheetId="6" refreshError="1">
        <row r="26">
          <cell r="D26">
            <v>40300</v>
          </cell>
        </row>
        <row r="38">
          <cell r="D38">
            <v>12100</v>
          </cell>
        </row>
        <row r="39">
          <cell r="D39">
            <v>7200</v>
          </cell>
        </row>
        <row r="48">
          <cell r="D48">
            <v>950</v>
          </cell>
        </row>
        <row r="77">
          <cell r="D77">
            <v>8600</v>
          </cell>
        </row>
        <row r="78">
          <cell r="D78">
            <v>77600</v>
          </cell>
        </row>
        <row r="80">
          <cell r="D80">
            <v>43100</v>
          </cell>
        </row>
        <row r="81">
          <cell r="D81">
            <v>53800</v>
          </cell>
        </row>
        <row r="87">
          <cell r="D87">
            <v>2200</v>
          </cell>
        </row>
        <row r="108">
          <cell r="D108">
            <v>2600</v>
          </cell>
        </row>
        <row r="109">
          <cell r="D109">
            <v>7000</v>
          </cell>
        </row>
        <row r="113">
          <cell r="D113">
            <v>13100</v>
          </cell>
        </row>
        <row r="114">
          <cell r="D114">
            <v>13100</v>
          </cell>
        </row>
        <row r="127">
          <cell r="D127">
            <v>3000</v>
          </cell>
        </row>
      </sheetData>
      <sheetData sheetId="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VER"/>
      <sheetName val="COV TAWAR"/>
      <sheetName val="REKAP"/>
      <sheetName val="RAB"/>
      <sheetName val="ANALISA"/>
      <sheetName val="UPAH"/>
    </sheetNames>
    <sheetDataSet>
      <sheetData sheetId="0"/>
      <sheetData sheetId="1"/>
      <sheetData sheetId="2"/>
      <sheetData sheetId="3"/>
      <sheetData sheetId="4"/>
      <sheetData sheetId="5">
        <row r="376">
          <cell r="H376">
            <v>47300</v>
          </cell>
        </row>
      </sheetData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ALISA"/>
      <sheetName val="PINTU &amp; JENDELA"/>
    </sheetNames>
    <sheetDataSet>
      <sheetData sheetId="0" refreshError="1">
        <row r="11">
          <cell r="G11">
            <v>125000</v>
          </cell>
        </row>
        <row r="56">
          <cell r="G56">
            <v>160000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Upah&amp;Bahan"/>
      <sheetName val="Analisa "/>
      <sheetName val="Peralatan"/>
      <sheetName val="Curva S"/>
      <sheetName val="Lamp 5A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/>
      <sheetData sheetId="1"/>
      <sheetData sheetId="2"/>
      <sheetData sheetId="3">
        <row r="153">
          <cell r="A153" t="str">
            <v>ANALISA HARGA SATUAN MATA PEMBAYARAN</v>
          </cell>
        </row>
        <row r="156">
          <cell r="A156" t="str">
            <v>Nama Penawar</v>
          </cell>
          <cell r="C156" t="str">
            <v>:</v>
          </cell>
          <cell r="D156" t="str">
            <v>CV. TAKABEYA PERKASA</v>
          </cell>
        </row>
        <row r="157">
          <cell r="A157" t="str">
            <v>Paket</v>
          </cell>
          <cell r="C157" t="str">
            <v>:</v>
          </cell>
          <cell r="D157" t="str">
            <v xml:space="preserve">Pemeliharaan Berkala Jalan Geudong - Makam Malikussaleh - Mancang </v>
          </cell>
        </row>
        <row r="158">
          <cell r="A158" t="str">
            <v>No. Paket</v>
          </cell>
          <cell r="C158" t="str">
            <v>:</v>
          </cell>
          <cell r="D158" t="str">
            <v>P.039</v>
          </cell>
        </row>
        <row r="159">
          <cell r="A159" t="str">
            <v>Provinsi</v>
          </cell>
          <cell r="C159" t="str">
            <v>:</v>
          </cell>
          <cell r="D159" t="str">
            <v>Nanggroe Aceh Darussalam</v>
          </cell>
        </row>
        <row r="160">
          <cell r="A160" t="str">
            <v>No. Item Pembayaran</v>
          </cell>
          <cell r="C160" t="str">
            <v>:</v>
          </cell>
          <cell r="D160" t="str">
            <v>3.1 ( 1 )</v>
          </cell>
        </row>
        <row r="161">
          <cell r="A161" t="str">
            <v>Jenis Pekerjaan</v>
          </cell>
          <cell r="C161" t="str">
            <v>:</v>
          </cell>
          <cell r="D161" t="str">
            <v>GALIAN BIASA</v>
          </cell>
        </row>
        <row r="162">
          <cell r="A162" t="str">
            <v>Satuan Pembayaran</v>
          </cell>
          <cell r="C162" t="str">
            <v>:</v>
          </cell>
          <cell r="D162" t="str">
            <v>M3</v>
          </cell>
        </row>
        <row r="165">
          <cell r="A165" t="str">
            <v>NO.</v>
          </cell>
          <cell r="B165" t="str">
            <v>KOMPONEN</v>
          </cell>
          <cell r="D165" t="str">
            <v>SATUAN</v>
          </cell>
          <cell r="E165" t="str">
            <v>PERKIRAAN</v>
          </cell>
          <cell r="F165" t="str">
            <v>HARGA SATUAN</v>
          </cell>
          <cell r="G165" t="str">
            <v>JUMLAH HARGA</v>
          </cell>
        </row>
        <row r="166">
          <cell r="E166" t="str">
            <v>KUANTITAS</v>
          </cell>
          <cell r="F166" t="str">
            <v>(Rp)</v>
          </cell>
          <cell r="G166" t="str">
            <v>(Rp)</v>
          </cell>
        </row>
        <row r="167">
          <cell r="A167" t="str">
            <v>A</v>
          </cell>
          <cell r="B167" t="str">
            <v>TENAGA KERJA</v>
          </cell>
        </row>
        <row r="169">
          <cell r="A169" t="str">
            <v>1.</v>
          </cell>
          <cell r="B169" t="str">
            <v>Pekerja</v>
          </cell>
          <cell r="D169" t="str">
            <v>Jam</v>
          </cell>
          <cell r="E169">
            <v>0.1</v>
          </cell>
          <cell r="F169">
            <v>2800</v>
          </cell>
          <cell r="G169">
            <v>280</v>
          </cell>
        </row>
        <row r="170">
          <cell r="A170" t="str">
            <v>2.</v>
          </cell>
          <cell r="B170" t="str">
            <v>Mandor</v>
          </cell>
          <cell r="D170" t="str">
            <v>Jam</v>
          </cell>
          <cell r="E170">
            <v>5.6899999999999999E-2</v>
          </cell>
          <cell r="F170">
            <v>3600</v>
          </cell>
          <cell r="G170">
            <v>204.84</v>
          </cell>
        </row>
        <row r="173">
          <cell r="A173" t="str">
            <v>Jumlah Harga Tenaga Kerja</v>
          </cell>
          <cell r="G173">
            <v>484.84000000000003</v>
          </cell>
        </row>
        <row r="174">
          <cell r="A174" t="str">
            <v>B</v>
          </cell>
          <cell r="B174" t="str">
            <v xml:space="preserve">BAHAN </v>
          </cell>
        </row>
        <row r="179">
          <cell r="A179" t="str">
            <v>Jumlah Harga Bahan</v>
          </cell>
          <cell r="G179">
            <v>0</v>
          </cell>
        </row>
        <row r="180">
          <cell r="A180" t="str">
            <v>C</v>
          </cell>
          <cell r="B180" t="str">
            <v>PERALATAN</v>
          </cell>
        </row>
        <row r="182">
          <cell r="A182" t="str">
            <v>1.</v>
          </cell>
          <cell r="B182" t="str">
            <v>Exavator</v>
          </cell>
          <cell r="D182" t="str">
            <v>Jam</v>
          </cell>
          <cell r="E182">
            <v>5.6899999999999999E-2</v>
          </cell>
          <cell r="F182">
            <v>145000</v>
          </cell>
          <cell r="G182">
            <v>8250.5</v>
          </cell>
        </row>
        <row r="183">
          <cell r="A183" t="str">
            <v>2.</v>
          </cell>
          <cell r="B183" t="str">
            <v>Dump Truck</v>
          </cell>
          <cell r="D183" t="str">
            <v>Jam</v>
          </cell>
          <cell r="E183">
            <v>0.1084</v>
          </cell>
          <cell r="F183">
            <v>63000</v>
          </cell>
          <cell r="G183">
            <v>6829.2</v>
          </cell>
        </row>
        <row r="184">
          <cell r="A184" t="str">
            <v>3.</v>
          </cell>
          <cell r="B184" t="str">
            <v>Alat Bantu</v>
          </cell>
          <cell r="D184" t="str">
            <v>Ls</v>
          </cell>
          <cell r="E184">
            <v>1</v>
          </cell>
          <cell r="F184">
            <v>750</v>
          </cell>
          <cell r="G184">
            <v>750</v>
          </cell>
        </row>
        <row r="186">
          <cell r="A186" t="str">
            <v>Jumlah Harga Peralatan</v>
          </cell>
          <cell r="G186">
            <v>15829.7</v>
          </cell>
        </row>
        <row r="188">
          <cell r="A188" t="str">
            <v>D</v>
          </cell>
          <cell r="B188" t="str">
            <v>JUMLAH ( A + B + C )</v>
          </cell>
          <cell r="G188">
            <v>16314.54</v>
          </cell>
        </row>
        <row r="189">
          <cell r="A189" t="str">
            <v>E</v>
          </cell>
          <cell r="B189" t="str">
            <v>KEUNTUNGAN  10,0 % X D</v>
          </cell>
          <cell r="G189">
            <v>1631.4540000000002</v>
          </cell>
        </row>
        <row r="190">
          <cell r="A190" t="str">
            <v>F</v>
          </cell>
          <cell r="B190" t="str">
            <v>HARGA SATUAN PEKERJAAN  ( D + E )</v>
          </cell>
          <cell r="G190">
            <v>17945.994000000002</v>
          </cell>
        </row>
        <row r="191">
          <cell r="A191" t="str">
            <v>G</v>
          </cell>
          <cell r="B191" t="str">
            <v>DIBULATKAN</v>
          </cell>
          <cell r="G191">
            <v>17946</v>
          </cell>
        </row>
        <row r="193">
          <cell r="A193" t="str">
            <v>Note :       1</v>
          </cell>
          <cell r="B193" t="str">
            <v>Satuan dapat berdasarkan atas jam operasi untuk tenaga kerja dan peralatan, volume dan / atau ukuran</v>
          </cell>
        </row>
        <row r="194">
          <cell r="B194" t="str">
            <v xml:space="preserve"> berat untuk bahan-bahan</v>
          </cell>
        </row>
        <row r="195">
          <cell r="A195">
            <v>2</v>
          </cell>
          <cell r="B195" t="str">
            <v>Kuantitas Satuan adalah kuantitas setiap komponen untuk menyelesaikan satu satuan pekerjaan dari nomor</v>
          </cell>
        </row>
        <row r="196">
          <cell r="B196" t="str">
            <v>mata pembayaran</v>
          </cell>
        </row>
        <row r="197">
          <cell r="A197">
            <v>3</v>
          </cell>
          <cell r="B197" t="str">
            <v>Biaya Satuan Untuk Peralatan sudah termasuk bahan bakar, bahan habis dipakai dan operator</v>
          </cell>
        </row>
        <row r="198">
          <cell r="A198">
            <v>4</v>
          </cell>
          <cell r="B198" t="str">
            <v>Biaya Satuan sudah termasuk pengeluaran untuk seluruh pajak yang berkaitan (tetapi tidak termasuk PPN</v>
          </cell>
        </row>
        <row r="199">
          <cell r="B199" t="str">
            <v>yang dibayar dari kontrak) dan biaya-biaya lainnya</v>
          </cell>
        </row>
        <row r="204">
          <cell r="E204" t="str">
            <v>Takengon, 16 Juli 2003</v>
          </cell>
        </row>
        <row r="205">
          <cell r="E205" t="str">
            <v>CV. TRIPA KARYA</v>
          </cell>
        </row>
        <row r="212">
          <cell r="E212" t="str">
            <v>NYAK MUDDIN PUTEH</v>
          </cell>
        </row>
        <row r="213">
          <cell r="E213" t="str">
            <v>Direktur</v>
          </cell>
        </row>
        <row r="215">
          <cell r="A215" t="str">
            <v>ANALISA HARGA SATUAN MATA PEMBAYARAN</v>
          </cell>
        </row>
        <row r="218">
          <cell r="A218" t="str">
            <v>Nama Penawar</v>
          </cell>
          <cell r="C218" t="str">
            <v>:</v>
          </cell>
          <cell r="D218" t="str">
            <v>CV. TAKABEYA PERKASA</v>
          </cell>
        </row>
        <row r="219">
          <cell r="A219" t="str">
            <v>Paket</v>
          </cell>
          <cell r="C219" t="str">
            <v>:</v>
          </cell>
          <cell r="D219" t="str">
            <v xml:space="preserve">Pemeliharaan Berkala Jalan Geudong - Makam Malikussaleh - Mancang </v>
          </cell>
        </row>
        <row r="220">
          <cell r="A220" t="str">
            <v>No. Paket</v>
          </cell>
          <cell r="C220" t="str">
            <v>:</v>
          </cell>
          <cell r="D220" t="str">
            <v>P.039</v>
          </cell>
        </row>
        <row r="221">
          <cell r="A221" t="str">
            <v>Provinsi</v>
          </cell>
          <cell r="C221" t="str">
            <v>:</v>
          </cell>
          <cell r="D221" t="str">
            <v>Nanggroe Aceh Darussalam</v>
          </cell>
        </row>
        <row r="222">
          <cell r="A222" t="str">
            <v>No. Item Pembayaran</v>
          </cell>
          <cell r="C222" t="str">
            <v>:</v>
          </cell>
          <cell r="D222" t="str">
            <v>3.1 ( 2 )</v>
          </cell>
        </row>
        <row r="223">
          <cell r="A223" t="str">
            <v>Jenis Pekerjaan</v>
          </cell>
          <cell r="C223" t="str">
            <v>:</v>
          </cell>
          <cell r="D223" t="str">
            <v>GALIAN BATUAN</v>
          </cell>
        </row>
        <row r="224">
          <cell r="A224" t="str">
            <v>Satuan Pembayaran</v>
          </cell>
          <cell r="C224" t="str">
            <v>:</v>
          </cell>
          <cell r="D224" t="str">
            <v>M3</v>
          </cell>
        </row>
        <row r="228">
          <cell r="A228" t="str">
            <v>NO.</v>
          </cell>
          <cell r="B228" t="str">
            <v>KOMPONEN</v>
          </cell>
          <cell r="D228" t="str">
            <v>SATUAN</v>
          </cell>
          <cell r="E228" t="str">
            <v>PERKIRAAN</v>
          </cell>
          <cell r="F228" t="str">
            <v>HARGA SATUAN</v>
          </cell>
          <cell r="G228" t="str">
            <v>JUMLAH HARGA</v>
          </cell>
        </row>
        <row r="229">
          <cell r="E229" t="str">
            <v>KUANTITAS</v>
          </cell>
          <cell r="F229" t="str">
            <v>(Rp)</v>
          </cell>
          <cell r="G229" t="str">
            <v>(Rp)</v>
          </cell>
        </row>
        <row r="230">
          <cell r="A230" t="str">
            <v>A</v>
          </cell>
          <cell r="B230" t="str">
            <v>TENAGA KERJA</v>
          </cell>
        </row>
        <row r="232">
          <cell r="A232" t="str">
            <v>1.</v>
          </cell>
          <cell r="B232" t="str">
            <v>Pekerja</v>
          </cell>
          <cell r="D232" t="str">
            <v>Jam</v>
          </cell>
          <cell r="E232">
            <v>1.1398999999999999</v>
          </cell>
          <cell r="F232">
            <v>2800</v>
          </cell>
          <cell r="G232">
            <v>3191.72</v>
          </cell>
        </row>
        <row r="233">
          <cell r="A233" t="str">
            <v>2.</v>
          </cell>
          <cell r="B233" t="str">
            <v>Mandor</v>
          </cell>
          <cell r="D233" t="str">
            <v>Jam</v>
          </cell>
          <cell r="E233">
            <v>0.27490000000000003</v>
          </cell>
          <cell r="F233">
            <v>3600</v>
          </cell>
          <cell r="G233">
            <v>989.6400000000001</v>
          </cell>
        </row>
        <row r="236">
          <cell r="A236" t="str">
            <v>Jumlah Harga Tenaga Kerja</v>
          </cell>
          <cell r="G236">
            <v>4181.3599999999997</v>
          </cell>
        </row>
        <row r="237">
          <cell r="A237" t="str">
            <v>B</v>
          </cell>
          <cell r="B237" t="str">
            <v xml:space="preserve">BAHAN </v>
          </cell>
        </row>
        <row r="242">
          <cell r="A242" t="str">
            <v>Jumlah Harga Bahan</v>
          </cell>
          <cell r="G242">
            <v>0</v>
          </cell>
        </row>
        <row r="243">
          <cell r="A243" t="str">
            <v>C</v>
          </cell>
          <cell r="B243" t="str">
            <v>PERALATAN</v>
          </cell>
        </row>
        <row r="245">
          <cell r="A245" t="str">
            <v>1.</v>
          </cell>
          <cell r="B245" t="str">
            <v>Compressor</v>
          </cell>
          <cell r="D245" t="str">
            <v>Jam</v>
          </cell>
          <cell r="E245">
            <v>0.27490000000000003</v>
          </cell>
          <cell r="F245">
            <v>43000</v>
          </cell>
          <cell r="G245">
            <v>11820.7</v>
          </cell>
        </row>
        <row r="246">
          <cell r="A246" t="str">
            <v>2.</v>
          </cell>
          <cell r="B246" t="str">
            <v>Jack Hammer</v>
          </cell>
          <cell r="D246" t="str">
            <v>Jam</v>
          </cell>
          <cell r="E246">
            <v>0.27490000000000003</v>
          </cell>
          <cell r="F246">
            <v>16000</v>
          </cell>
          <cell r="G246">
            <v>4398.4000000000005</v>
          </cell>
        </row>
        <row r="247">
          <cell r="A247" t="str">
            <v>3.</v>
          </cell>
          <cell r="B247" t="str">
            <v>Dump Truck</v>
          </cell>
          <cell r="D247" t="str">
            <v>Jam</v>
          </cell>
          <cell r="E247">
            <v>0.46090000000000003</v>
          </cell>
          <cell r="F247">
            <v>63000</v>
          </cell>
          <cell r="G247">
            <v>29036.7</v>
          </cell>
        </row>
        <row r="248">
          <cell r="A248" t="str">
            <v>4.</v>
          </cell>
          <cell r="B248" t="str">
            <v>Alat Bantu</v>
          </cell>
          <cell r="D248" t="str">
            <v>Ls</v>
          </cell>
          <cell r="E248">
            <v>1</v>
          </cell>
          <cell r="F248">
            <v>1200</v>
          </cell>
          <cell r="G248">
            <v>1200</v>
          </cell>
        </row>
        <row r="250">
          <cell r="A250" t="str">
            <v>Jumlah Harga Peralatan</v>
          </cell>
          <cell r="G250">
            <v>46455.8</v>
          </cell>
        </row>
        <row r="252">
          <cell r="A252" t="str">
            <v>D</v>
          </cell>
          <cell r="B252" t="str">
            <v>JUMLAH ( A + B + C )</v>
          </cell>
          <cell r="G252">
            <v>50637.16</v>
          </cell>
        </row>
        <row r="253">
          <cell r="A253" t="str">
            <v>E</v>
          </cell>
          <cell r="B253" t="str">
            <v>KEUNTUNGAN  10,0 % X D</v>
          </cell>
          <cell r="G253">
            <v>5063.7160000000003</v>
          </cell>
        </row>
        <row r="254">
          <cell r="A254" t="str">
            <v>F</v>
          </cell>
          <cell r="B254" t="str">
            <v>HARGA SATUAN PEKERJAAN  ( D + E )</v>
          </cell>
          <cell r="G254">
            <v>55700.876000000004</v>
          </cell>
        </row>
        <row r="255">
          <cell r="A255" t="str">
            <v>G</v>
          </cell>
          <cell r="B255" t="str">
            <v>DIBULATKAN</v>
          </cell>
          <cell r="G255">
            <v>55701</v>
          </cell>
        </row>
        <row r="257">
          <cell r="A257" t="str">
            <v>Note :       1</v>
          </cell>
          <cell r="B257" t="str">
            <v>Satuan dapat berdasarkan atas jam operasi untuk tenaga kerja dan peralatan, volume dan / atau ukuran</v>
          </cell>
        </row>
        <row r="258">
          <cell r="B258" t="str">
            <v xml:space="preserve"> berat untuk bahan-bahan</v>
          </cell>
        </row>
        <row r="259">
          <cell r="A259">
            <v>2</v>
          </cell>
          <cell r="B259" t="str">
            <v>Kuantitas Satuan adalah kuantitas setiap komponen untuk menyelesaikan satu satuan pekerjaan dari nomor</v>
          </cell>
        </row>
        <row r="260">
          <cell r="B260" t="str">
            <v>mata pembayaran</v>
          </cell>
        </row>
        <row r="261">
          <cell r="A261">
            <v>3</v>
          </cell>
          <cell r="B261" t="str">
            <v>Biaya Satuan Untuk Peralatan sudah termasuk bahan bakar, bahan habis dipakai dan operator</v>
          </cell>
        </row>
        <row r="262">
          <cell r="A262">
            <v>4</v>
          </cell>
          <cell r="B262" t="str">
            <v>Biaya Satuan sudah termasuk pengeluaran untuk seluruh pajak yang berkaitan (tetapi tidak termasuk PPN</v>
          </cell>
        </row>
        <row r="263">
          <cell r="B263" t="str">
            <v>yang dibayar dari kontrak) dan biaya-biaya lainnya</v>
          </cell>
        </row>
        <row r="267">
          <cell r="E267" t="str">
            <v>Takengon, 16 Juli 2003</v>
          </cell>
        </row>
        <row r="268">
          <cell r="E268" t="str">
            <v>CV. TRIPA KARYA</v>
          </cell>
        </row>
        <row r="274">
          <cell r="E274" t="str">
            <v>NYAK MUDDIN PUTEH</v>
          </cell>
        </row>
        <row r="275">
          <cell r="E275" t="str">
            <v>Direktur</v>
          </cell>
        </row>
        <row r="277">
          <cell r="A277" t="str">
            <v>ANALISA HARGA SATUAN MATA PEMBAYARAN</v>
          </cell>
        </row>
        <row r="280">
          <cell r="A280" t="str">
            <v>Nama Penawar</v>
          </cell>
          <cell r="C280" t="str">
            <v>:</v>
          </cell>
          <cell r="D280" t="str">
            <v>CV. TAKABEYA PERKASA</v>
          </cell>
        </row>
        <row r="281">
          <cell r="A281" t="str">
            <v>Paket</v>
          </cell>
          <cell r="C281" t="str">
            <v>:</v>
          </cell>
          <cell r="D281" t="str">
            <v xml:space="preserve">Pemeliharaan Berkala Jalan Geudong - Makam Malikussaleh - Mancang </v>
          </cell>
        </row>
        <row r="282">
          <cell r="A282" t="str">
            <v>No. Paket</v>
          </cell>
          <cell r="C282" t="str">
            <v>:</v>
          </cell>
          <cell r="D282" t="str">
            <v>P.039</v>
          </cell>
        </row>
        <row r="283">
          <cell r="A283" t="str">
            <v>Provinsi</v>
          </cell>
          <cell r="C283" t="str">
            <v>:</v>
          </cell>
          <cell r="D283" t="str">
            <v>Nanggroe Aceh Darussalam</v>
          </cell>
        </row>
        <row r="284">
          <cell r="A284" t="str">
            <v>No. Item Pembayaran</v>
          </cell>
          <cell r="C284" t="str">
            <v>:</v>
          </cell>
          <cell r="D284" t="str">
            <v>3.2 ( 1 )</v>
          </cell>
        </row>
        <row r="285">
          <cell r="A285" t="str">
            <v>Jenis Pekerjaan</v>
          </cell>
          <cell r="C285" t="str">
            <v>:</v>
          </cell>
          <cell r="D285" t="str">
            <v>Timbunan Biasa</v>
          </cell>
        </row>
        <row r="286">
          <cell r="A286" t="str">
            <v>Satuan Pembayaran</v>
          </cell>
          <cell r="C286" t="str">
            <v>:</v>
          </cell>
          <cell r="D286" t="str">
            <v>M3</v>
          </cell>
        </row>
        <row r="290">
          <cell r="A290" t="str">
            <v>NO.</v>
          </cell>
          <cell r="B290" t="str">
            <v>KOMPONEN</v>
          </cell>
          <cell r="D290" t="str">
            <v>SATUAN</v>
          </cell>
          <cell r="E290" t="str">
            <v>PERKIRAAN</v>
          </cell>
          <cell r="F290" t="str">
            <v>HARGA SATUAN</v>
          </cell>
          <cell r="G290" t="str">
            <v>JUMLAH HARGA</v>
          </cell>
        </row>
        <row r="291">
          <cell r="E291" t="str">
            <v>KUANTITAS</v>
          </cell>
          <cell r="F291" t="str">
            <v>(Rp)</v>
          </cell>
          <cell r="G291" t="str">
            <v>(Rp)</v>
          </cell>
        </row>
        <row r="292">
          <cell r="A292" t="str">
            <v>A</v>
          </cell>
          <cell r="B292" t="str">
            <v>TENAGA KERJA</v>
          </cell>
        </row>
        <row r="294">
          <cell r="A294" t="str">
            <v>1.</v>
          </cell>
          <cell r="B294" t="str">
            <v>Pekerja</v>
          </cell>
          <cell r="D294" t="str">
            <v>Jam</v>
          </cell>
          <cell r="E294">
            <v>0.15190000000000001</v>
          </cell>
          <cell r="F294">
            <v>2800</v>
          </cell>
          <cell r="G294">
            <v>425.32</v>
          </cell>
        </row>
        <row r="295">
          <cell r="A295" t="str">
            <v>2.</v>
          </cell>
          <cell r="B295" t="str">
            <v>Mandor</v>
          </cell>
          <cell r="D295" t="str">
            <v>Jam</v>
          </cell>
          <cell r="E295">
            <v>3.6399999999999995E-2</v>
          </cell>
          <cell r="F295">
            <v>3600</v>
          </cell>
          <cell r="G295">
            <v>131.04</v>
          </cell>
        </row>
        <row r="298">
          <cell r="A298" t="str">
            <v>Jumlah Harga Tenaga Kerja</v>
          </cell>
          <cell r="G298">
            <v>556.36</v>
          </cell>
        </row>
        <row r="299">
          <cell r="A299" t="str">
            <v>B</v>
          </cell>
          <cell r="B299" t="str">
            <v xml:space="preserve">BAHAN </v>
          </cell>
        </row>
        <row r="301">
          <cell r="A301">
            <v>1</v>
          </cell>
          <cell r="B301" t="str">
            <v>Material Timbunan</v>
          </cell>
          <cell r="D301" t="str">
            <v>M3</v>
          </cell>
          <cell r="E301">
            <v>1.2</v>
          </cell>
          <cell r="F301">
            <v>12500</v>
          </cell>
          <cell r="G301">
            <v>15000</v>
          </cell>
        </row>
        <row r="304">
          <cell r="A304" t="str">
            <v>Jumlah Harga Bahan</v>
          </cell>
          <cell r="G304">
            <v>15000</v>
          </cell>
        </row>
        <row r="305">
          <cell r="A305" t="str">
            <v>C</v>
          </cell>
          <cell r="B305" t="str">
            <v>PERALATAN</v>
          </cell>
        </row>
        <row r="307">
          <cell r="A307" t="str">
            <v>1.</v>
          </cell>
          <cell r="B307" t="str">
            <v>Whell Loader</v>
          </cell>
          <cell r="D307" t="str">
            <v>Jam</v>
          </cell>
          <cell r="E307">
            <v>3.6399999999999995E-2</v>
          </cell>
          <cell r="F307">
            <v>148000</v>
          </cell>
          <cell r="G307">
            <v>5387.1999999999989</v>
          </cell>
        </row>
        <row r="308">
          <cell r="A308" t="str">
            <v>2.</v>
          </cell>
          <cell r="B308" t="str">
            <v>Dump Truck</v>
          </cell>
          <cell r="D308" t="str">
            <v>Jam</v>
          </cell>
          <cell r="E308">
            <v>0.2409</v>
          </cell>
          <cell r="F308">
            <v>75000</v>
          </cell>
          <cell r="G308">
            <v>18067.5</v>
          </cell>
        </row>
        <row r="309">
          <cell r="A309" t="str">
            <v>3.</v>
          </cell>
          <cell r="B309" t="str">
            <v>Motor Greder</v>
          </cell>
          <cell r="D309" t="str">
            <v>Jam</v>
          </cell>
          <cell r="E309">
            <v>1.0200000000000001E-2</v>
          </cell>
          <cell r="F309">
            <v>165000</v>
          </cell>
          <cell r="G309">
            <v>1683.0000000000002</v>
          </cell>
        </row>
        <row r="310">
          <cell r="A310" t="str">
            <v>4.</v>
          </cell>
          <cell r="B310" t="str">
            <v>Vibrator Roller</v>
          </cell>
          <cell r="D310" t="str">
            <v>Jam</v>
          </cell>
          <cell r="E310">
            <v>1.54E-2</v>
          </cell>
          <cell r="F310">
            <v>155000</v>
          </cell>
          <cell r="G310">
            <v>2387</v>
          </cell>
        </row>
        <row r="311">
          <cell r="A311" t="str">
            <v>5.</v>
          </cell>
          <cell r="B311" t="str">
            <v>Water Tanker</v>
          </cell>
          <cell r="D311" t="str">
            <v>Jam</v>
          </cell>
          <cell r="E311">
            <v>7.0000000000000001E-3</v>
          </cell>
          <cell r="F311">
            <v>70000</v>
          </cell>
          <cell r="G311">
            <v>490</v>
          </cell>
        </row>
        <row r="312">
          <cell r="A312" t="str">
            <v>6.</v>
          </cell>
          <cell r="B312" t="str">
            <v>Alat Bantu</v>
          </cell>
          <cell r="D312" t="str">
            <v>Ls</v>
          </cell>
          <cell r="E312">
            <v>1</v>
          </cell>
          <cell r="F312">
            <v>200</v>
          </cell>
          <cell r="G312">
            <v>200</v>
          </cell>
        </row>
        <row r="314">
          <cell r="A314" t="str">
            <v>Jumlah Harga Peralatan</v>
          </cell>
          <cell r="G314">
            <v>28214.699999999997</v>
          </cell>
        </row>
        <row r="316">
          <cell r="A316" t="str">
            <v>D</v>
          </cell>
          <cell r="B316" t="str">
            <v>JUMLAH ( A + B + C )</v>
          </cell>
          <cell r="G316">
            <v>43771.06</v>
          </cell>
        </row>
        <row r="317">
          <cell r="A317" t="str">
            <v>E</v>
          </cell>
          <cell r="B317" t="str">
            <v>KEUNTUNGAN  10,0 % X D</v>
          </cell>
          <cell r="G317">
            <v>4377.1059999999998</v>
          </cell>
        </row>
        <row r="318">
          <cell r="A318" t="str">
            <v>F</v>
          </cell>
          <cell r="B318" t="str">
            <v>HARGA SATUAN PEKERJAAN  ( D + E )</v>
          </cell>
          <cell r="G318">
            <v>48148.165999999997</v>
          </cell>
        </row>
        <row r="319">
          <cell r="A319" t="str">
            <v>G</v>
          </cell>
          <cell r="B319" t="str">
            <v>DIBULATKAN</v>
          </cell>
          <cell r="G319">
            <v>48148</v>
          </cell>
        </row>
        <row r="321">
          <cell r="A321" t="str">
            <v>Note :       1</v>
          </cell>
          <cell r="B321" t="str">
            <v>Satuan dapat berdasarkan atas jam operasi untuk tenaga kerja dan peralatan, volume dan / atau ukuran</v>
          </cell>
        </row>
        <row r="322">
          <cell r="B322" t="str">
            <v xml:space="preserve"> berat untuk bahan-bahan</v>
          </cell>
        </row>
        <row r="323">
          <cell r="A323">
            <v>2</v>
          </cell>
          <cell r="B323" t="str">
            <v>Kuantitas Satuan adalah kuantitas setiap komponen untuk menyelesaikan satu satuan pekerjaan dari nomor</v>
          </cell>
        </row>
        <row r="324">
          <cell r="B324" t="str">
            <v>mata pembayaran</v>
          </cell>
        </row>
        <row r="325">
          <cell r="A325">
            <v>3</v>
          </cell>
          <cell r="B325" t="str">
            <v>Biaya Satuan Untuk Peralatan sudah termasuk bahan bakar, bahan habis dipakai dan operator</v>
          </cell>
        </row>
        <row r="326">
          <cell r="A326">
            <v>4</v>
          </cell>
          <cell r="B326" t="str">
            <v>Biaya Satuan sudah termasuk pengeluaran untuk seluruh pajak yang berkaitan (tetapi tidak termasuk PPN</v>
          </cell>
        </row>
        <row r="327">
          <cell r="B327" t="str">
            <v>yang dibayar dari kontrak) dan biaya-biaya lainnya</v>
          </cell>
        </row>
        <row r="331">
          <cell r="E331" t="str">
            <v>Takengon, 16 Juli 2003</v>
          </cell>
        </row>
        <row r="332">
          <cell r="E332" t="str">
            <v>CV. TRIPA KARYA</v>
          </cell>
        </row>
        <row r="338">
          <cell r="E338" t="str">
            <v>NYAK MUDDIN PUTEH</v>
          </cell>
        </row>
        <row r="339">
          <cell r="E339" t="str">
            <v>Direktur</v>
          </cell>
        </row>
        <row r="341">
          <cell r="A341" t="str">
            <v>ANALISA HARGA SATUAN MATA PEMBAYARAN</v>
          </cell>
        </row>
        <row r="344">
          <cell r="A344" t="str">
            <v>Nama Penawar</v>
          </cell>
          <cell r="C344" t="str">
            <v>:</v>
          </cell>
          <cell r="D344" t="str">
            <v>CV. TAKABEYA PERKASA</v>
          </cell>
        </row>
        <row r="345">
          <cell r="A345" t="str">
            <v>Paket</v>
          </cell>
          <cell r="C345" t="str">
            <v>:</v>
          </cell>
          <cell r="D345" t="str">
            <v xml:space="preserve">Pemeliharaan Berkala Jalan Geudong - Makam Malikussaleh - Mancang </v>
          </cell>
        </row>
        <row r="346">
          <cell r="A346" t="str">
            <v>No. Paket</v>
          </cell>
          <cell r="C346" t="str">
            <v>:</v>
          </cell>
          <cell r="D346" t="str">
            <v>P.039</v>
          </cell>
        </row>
        <row r="347">
          <cell r="A347" t="str">
            <v>Provinsi</v>
          </cell>
          <cell r="C347" t="str">
            <v>:</v>
          </cell>
          <cell r="D347" t="str">
            <v>Nanggroe Aceh Darussalam</v>
          </cell>
        </row>
        <row r="348">
          <cell r="A348" t="str">
            <v>No. Item Pembayaran</v>
          </cell>
          <cell r="C348" t="str">
            <v>:</v>
          </cell>
          <cell r="D348" t="str">
            <v>5.1 ( 1 )</v>
          </cell>
        </row>
        <row r="349">
          <cell r="A349" t="str">
            <v>Jenis Pekerjaan</v>
          </cell>
          <cell r="C349" t="str">
            <v>:</v>
          </cell>
          <cell r="D349" t="str">
            <v>Lapis Pondasi Agregat Klas A</v>
          </cell>
        </row>
        <row r="350">
          <cell r="A350" t="str">
            <v>Satuan Pembayaran</v>
          </cell>
          <cell r="C350" t="str">
            <v>:</v>
          </cell>
          <cell r="D350" t="str">
            <v>M3</v>
          </cell>
        </row>
        <row r="354">
          <cell r="A354" t="str">
            <v>NO.</v>
          </cell>
          <cell r="B354" t="str">
            <v>KOMPONEN</v>
          </cell>
          <cell r="D354" t="str">
            <v>SATUAN</v>
          </cell>
          <cell r="E354" t="str">
            <v>PERKIRAAN</v>
          </cell>
          <cell r="F354" t="str">
            <v>HARGA SATUAN</v>
          </cell>
          <cell r="G354" t="str">
            <v>JUMLAH HARGA</v>
          </cell>
        </row>
        <row r="355">
          <cell r="E355" t="str">
            <v>KUANTITAS</v>
          </cell>
          <cell r="F355" t="str">
            <v>(Rp)</v>
          </cell>
          <cell r="G355" t="str">
            <v>(Rp)</v>
          </cell>
        </row>
        <row r="356">
          <cell r="A356" t="str">
            <v>A</v>
          </cell>
          <cell r="B356" t="str">
            <v>TENAGA KERJA</v>
          </cell>
        </row>
        <row r="358">
          <cell r="A358" t="str">
            <v>1.</v>
          </cell>
          <cell r="B358" t="str">
            <v>Pekerja</v>
          </cell>
          <cell r="D358" t="str">
            <v>Jam</v>
          </cell>
          <cell r="E358">
            <v>0.56169999999999998</v>
          </cell>
          <cell r="F358">
            <v>2800</v>
          </cell>
          <cell r="G358">
            <v>1572.76</v>
          </cell>
        </row>
        <row r="359">
          <cell r="A359" t="str">
            <v>2.</v>
          </cell>
          <cell r="B359" t="str">
            <v>Mandor</v>
          </cell>
          <cell r="D359" t="str">
            <v>Jam</v>
          </cell>
          <cell r="E359">
            <v>8.0099999999999991E-2</v>
          </cell>
          <cell r="F359">
            <v>3600</v>
          </cell>
          <cell r="G359">
            <v>288.35999999999996</v>
          </cell>
        </row>
        <row r="362">
          <cell r="A362" t="str">
            <v>Jumlah Harga Tenaga Kerja</v>
          </cell>
          <cell r="G362">
            <v>1861.12</v>
          </cell>
        </row>
        <row r="363">
          <cell r="A363" t="str">
            <v>B</v>
          </cell>
          <cell r="B363" t="str">
            <v xml:space="preserve">BAHAN </v>
          </cell>
        </row>
        <row r="365">
          <cell r="A365" t="str">
            <v>1.</v>
          </cell>
          <cell r="B365" t="str">
            <v>Agregat Kasar</v>
          </cell>
          <cell r="D365" t="str">
            <v>M3</v>
          </cell>
          <cell r="E365">
            <v>0.76200000000000001</v>
          </cell>
          <cell r="F365">
            <v>49000</v>
          </cell>
          <cell r="G365">
            <v>37338</v>
          </cell>
        </row>
        <row r="366">
          <cell r="A366" t="str">
            <v>2.</v>
          </cell>
          <cell r="B366" t="str">
            <v>Agregat Halus</v>
          </cell>
          <cell r="D366" t="str">
            <v>M3</v>
          </cell>
          <cell r="E366">
            <v>0.438</v>
          </cell>
          <cell r="F366">
            <v>55000</v>
          </cell>
          <cell r="G366">
            <v>24090</v>
          </cell>
        </row>
        <row r="368">
          <cell r="A368" t="str">
            <v>Jumlah Harga Bahan</v>
          </cell>
          <cell r="G368">
            <v>61428</v>
          </cell>
        </row>
        <row r="369">
          <cell r="A369" t="str">
            <v>C</v>
          </cell>
          <cell r="B369" t="str">
            <v>PERALATAN</v>
          </cell>
        </row>
        <row r="371">
          <cell r="A371" t="str">
            <v>1.</v>
          </cell>
          <cell r="B371" t="str">
            <v>Whell Loader</v>
          </cell>
          <cell r="D371" t="str">
            <v>Jam</v>
          </cell>
          <cell r="E371">
            <v>7.9500000000000001E-2</v>
          </cell>
          <cell r="F371">
            <v>148000</v>
          </cell>
          <cell r="G371">
            <v>11766</v>
          </cell>
        </row>
        <row r="372">
          <cell r="A372" t="str">
            <v>2.</v>
          </cell>
          <cell r="B372" t="str">
            <v>Dump Truck</v>
          </cell>
          <cell r="D372" t="str">
            <v>Jam</v>
          </cell>
          <cell r="E372">
            <v>0.92500000000000004</v>
          </cell>
          <cell r="F372">
            <v>75000</v>
          </cell>
          <cell r="G372">
            <v>69375</v>
          </cell>
        </row>
        <row r="373">
          <cell r="A373" t="str">
            <v>3.</v>
          </cell>
          <cell r="B373" t="str">
            <v>Motor Greder</v>
          </cell>
          <cell r="D373" t="str">
            <v>Jam</v>
          </cell>
          <cell r="E373">
            <v>1.0200000000000001E-2</v>
          </cell>
          <cell r="F373">
            <v>165000</v>
          </cell>
          <cell r="G373">
            <v>1683.0000000000002</v>
          </cell>
        </row>
        <row r="374">
          <cell r="A374" t="str">
            <v>4.</v>
          </cell>
          <cell r="B374" t="str">
            <v>Vibrator Roller</v>
          </cell>
          <cell r="D374" t="str">
            <v>Jam</v>
          </cell>
          <cell r="E374">
            <v>1.5599999999999999E-2</v>
          </cell>
          <cell r="F374">
            <v>155000</v>
          </cell>
          <cell r="G374">
            <v>2418</v>
          </cell>
        </row>
        <row r="375">
          <cell r="A375" t="str">
            <v>5.</v>
          </cell>
          <cell r="B375" t="str">
            <v>P. Tyre Roller</v>
          </cell>
          <cell r="D375" t="str">
            <v>Jam</v>
          </cell>
          <cell r="E375">
            <v>5.4000000000000003E-3</v>
          </cell>
          <cell r="F375">
            <v>98000</v>
          </cell>
          <cell r="G375">
            <v>529.20000000000005</v>
          </cell>
        </row>
        <row r="376">
          <cell r="A376" t="str">
            <v>6.</v>
          </cell>
          <cell r="B376" t="str">
            <v>Water Tanker</v>
          </cell>
          <cell r="D376" t="str">
            <v>Jam</v>
          </cell>
          <cell r="E376">
            <v>1.84E-2</v>
          </cell>
          <cell r="F376">
            <v>70000</v>
          </cell>
          <cell r="G376">
            <v>1288</v>
          </cell>
        </row>
        <row r="377">
          <cell r="A377" t="str">
            <v>7.</v>
          </cell>
          <cell r="B377" t="str">
            <v>Alat Bantu</v>
          </cell>
          <cell r="D377" t="str">
            <v>Ls</v>
          </cell>
          <cell r="E377">
            <v>1</v>
          </cell>
          <cell r="F377">
            <v>1750</v>
          </cell>
          <cell r="G377">
            <v>1750</v>
          </cell>
        </row>
        <row r="379">
          <cell r="A379" t="str">
            <v>Jumlah Harga Peralatan</v>
          </cell>
          <cell r="G379">
            <v>88809.2</v>
          </cell>
        </row>
        <row r="381">
          <cell r="A381" t="str">
            <v>D</v>
          </cell>
          <cell r="B381" t="str">
            <v>JUMLAH ( A + B + C )</v>
          </cell>
          <cell r="G381">
            <v>152098.32</v>
          </cell>
        </row>
        <row r="382">
          <cell r="A382" t="str">
            <v>E</v>
          </cell>
          <cell r="B382" t="str">
            <v>KEUNTUNGAN  10,0 % X D</v>
          </cell>
          <cell r="G382">
            <v>15209.832000000002</v>
          </cell>
        </row>
        <row r="383">
          <cell r="A383" t="str">
            <v>F</v>
          </cell>
          <cell r="B383" t="str">
            <v>HARGA SATUAN PEKERJAAN  ( D + E )</v>
          </cell>
          <cell r="G383">
            <v>167308.152</v>
          </cell>
        </row>
        <row r="384">
          <cell r="A384" t="str">
            <v>G</v>
          </cell>
          <cell r="B384" t="str">
            <v>DIBULATKAN</v>
          </cell>
          <cell r="G384">
            <v>167308</v>
          </cell>
        </row>
        <row r="386">
          <cell r="A386" t="str">
            <v>Note :       1</v>
          </cell>
          <cell r="B386" t="str">
            <v>Satuan dapat berdasarkan atas jam operasi untuk tenaga kerja dan peralatan, volume dan / atau ukuran</v>
          </cell>
        </row>
        <row r="387">
          <cell r="B387" t="str">
            <v xml:space="preserve"> berat untuk bahan-bahan</v>
          </cell>
        </row>
        <row r="388">
          <cell r="A388">
            <v>2</v>
          </cell>
          <cell r="B388" t="str">
            <v>Kuantitas Satuan adalah kuantitas setiap komponen untuk menyelesaikan satu satuan pekerjaan dari nomor</v>
          </cell>
        </row>
        <row r="389">
          <cell r="B389" t="str">
            <v>mata pembayaran</v>
          </cell>
        </row>
        <row r="390">
          <cell r="A390">
            <v>3</v>
          </cell>
          <cell r="B390" t="str">
            <v>Biaya Satuan Untuk Peralatan sudah termasuk bahan bakar, bahan habis dipakai dan operator</v>
          </cell>
        </row>
        <row r="391">
          <cell r="A391">
            <v>4</v>
          </cell>
          <cell r="B391" t="str">
            <v>Biaya Satuan sudah termasuk pengeluaran untuk seluruh pajak yang berkaitan (tetapi tidak termasuk PPN</v>
          </cell>
        </row>
        <row r="392">
          <cell r="B392" t="str">
            <v>yang dibayar dari kontrak) dan biaya-biaya lainnya</v>
          </cell>
        </row>
        <row r="396">
          <cell r="E396" t="str">
            <v>Takengon, 16 Juli 2003</v>
          </cell>
        </row>
        <row r="397">
          <cell r="E397" t="str">
            <v>CV. TRIPA KARYA</v>
          </cell>
        </row>
        <row r="403">
          <cell r="E403" t="str">
            <v>NYAK MUDDIN PUTEH</v>
          </cell>
        </row>
        <row r="404">
          <cell r="E404" t="str">
            <v>Direktur</v>
          </cell>
        </row>
        <row r="406">
          <cell r="A406" t="str">
            <v>ANALISA HARGA SATUAN MATA PEMBAYARAN</v>
          </cell>
        </row>
        <row r="409">
          <cell r="A409" t="str">
            <v>Nama Penawar</v>
          </cell>
          <cell r="C409" t="str">
            <v>:</v>
          </cell>
          <cell r="D409" t="str">
            <v>CV. TAKABEYA PERKASA</v>
          </cell>
        </row>
        <row r="410">
          <cell r="A410" t="str">
            <v>Paket</v>
          </cell>
          <cell r="C410" t="str">
            <v>:</v>
          </cell>
          <cell r="D410" t="str">
            <v xml:space="preserve">Pemeliharaan Berkala Jalan Geudong - Makam Malikussaleh - Mancang </v>
          </cell>
        </row>
        <row r="411">
          <cell r="A411" t="str">
            <v>No. Paket</v>
          </cell>
          <cell r="C411" t="str">
            <v>:</v>
          </cell>
          <cell r="D411" t="str">
            <v>P.039</v>
          </cell>
        </row>
        <row r="412">
          <cell r="A412" t="str">
            <v>Provinsi</v>
          </cell>
          <cell r="C412" t="str">
            <v>:</v>
          </cell>
          <cell r="D412" t="str">
            <v>Nanggroe Aceh Darussalam</v>
          </cell>
        </row>
        <row r="413">
          <cell r="A413" t="str">
            <v>No. Item Pembayaran</v>
          </cell>
          <cell r="C413" t="str">
            <v>:</v>
          </cell>
          <cell r="D413" t="str">
            <v>5.1 ( 2 )</v>
          </cell>
        </row>
        <row r="414">
          <cell r="A414" t="str">
            <v>Jenis Pekerjaan</v>
          </cell>
          <cell r="C414" t="str">
            <v>:</v>
          </cell>
          <cell r="D414" t="str">
            <v>Lapisan Pondasi Agregat Klas B</v>
          </cell>
        </row>
        <row r="415">
          <cell r="A415" t="str">
            <v>Satuan Pembayaran</v>
          </cell>
          <cell r="C415" t="str">
            <v>:</v>
          </cell>
          <cell r="D415" t="str">
            <v>M3</v>
          </cell>
        </row>
        <row r="419">
          <cell r="A419" t="str">
            <v>NO.</v>
          </cell>
          <cell r="B419" t="str">
            <v>KOMPONEN</v>
          </cell>
          <cell r="D419" t="str">
            <v>SATUAN</v>
          </cell>
          <cell r="E419" t="str">
            <v>PERKIRAAN</v>
          </cell>
          <cell r="F419" t="str">
            <v>HARGA SATUAN</v>
          </cell>
          <cell r="G419" t="str">
            <v>JUMLAH HARGA</v>
          </cell>
        </row>
        <row r="420">
          <cell r="E420" t="str">
            <v>KUANTITAS</v>
          </cell>
          <cell r="F420" t="str">
            <v>(Rp)</v>
          </cell>
          <cell r="G420" t="str">
            <v>(Rp)</v>
          </cell>
        </row>
        <row r="421">
          <cell r="A421" t="str">
            <v>A</v>
          </cell>
          <cell r="B421" t="str">
            <v>TENAGA KERJA</v>
          </cell>
        </row>
        <row r="423">
          <cell r="A423" t="str">
            <v>1.</v>
          </cell>
          <cell r="B423" t="str">
            <v>Pekerja</v>
          </cell>
          <cell r="D423" t="str">
            <v>Jam</v>
          </cell>
          <cell r="E423">
            <v>0.5625</v>
          </cell>
          <cell r="F423">
            <v>2800</v>
          </cell>
          <cell r="G423">
            <v>1575</v>
          </cell>
        </row>
        <row r="424">
          <cell r="A424" t="str">
            <v>2.</v>
          </cell>
          <cell r="B424" t="str">
            <v>Mandor</v>
          </cell>
          <cell r="D424" t="str">
            <v>Jam</v>
          </cell>
          <cell r="E424">
            <v>8.0600000000000005E-2</v>
          </cell>
          <cell r="F424">
            <v>3600</v>
          </cell>
          <cell r="G424">
            <v>290.16000000000003</v>
          </cell>
        </row>
        <row r="427">
          <cell r="A427" t="str">
            <v>Jumlah Harga Tenaga Kerja</v>
          </cell>
          <cell r="G427">
            <v>1865.16</v>
          </cell>
        </row>
        <row r="428">
          <cell r="A428" t="str">
            <v>B</v>
          </cell>
          <cell r="B428" t="str">
            <v xml:space="preserve">BAHAN </v>
          </cell>
        </row>
        <row r="430">
          <cell r="A430" t="str">
            <v>1.</v>
          </cell>
          <cell r="B430" t="str">
            <v>Agregat Kasar</v>
          </cell>
          <cell r="D430" t="str">
            <v>M3</v>
          </cell>
          <cell r="E430">
            <v>0.72</v>
          </cell>
          <cell r="F430">
            <v>49000</v>
          </cell>
          <cell r="G430">
            <v>35280</v>
          </cell>
        </row>
        <row r="431">
          <cell r="A431" t="str">
            <v>2.</v>
          </cell>
          <cell r="B431" t="str">
            <v>Agregat Halus</v>
          </cell>
          <cell r="D431" t="str">
            <v>M3</v>
          </cell>
          <cell r="E431">
            <v>0.48</v>
          </cell>
          <cell r="F431">
            <v>55000</v>
          </cell>
          <cell r="G431">
            <v>26400</v>
          </cell>
        </row>
        <row r="433">
          <cell r="A433" t="str">
            <v>Jumlah Harga Bahan</v>
          </cell>
          <cell r="G433">
            <v>61680</v>
          </cell>
        </row>
        <row r="434">
          <cell r="A434" t="str">
            <v>C</v>
          </cell>
          <cell r="B434" t="str">
            <v>PERALATAN</v>
          </cell>
        </row>
        <row r="436">
          <cell r="A436" t="str">
            <v>1.</v>
          </cell>
          <cell r="B436" t="str">
            <v>Whell Loader</v>
          </cell>
          <cell r="D436" t="str">
            <v>Jam</v>
          </cell>
          <cell r="E436">
            <v>8.0299999999999996E-2</v>
          </cell>
          <cell r="F436">
            <v>148000</v>
          </cell>
          <cell r="G436">
            <v>11884.4</v>
          </cell>
        </row>
        <row r="437">
          <cell r="A437" t="str">
            <v>2.</v>
          </cell>
          <cell r="B437" t="str">
            <v>Dump Truck</v>
          </cell>
          <cell r="D437" t="str">
            <v>Jam</v>
          </cell>
          <cell r="E437">
            <v>0.92530000000000001</v>
          </cell>
          <cell r="F437">
            <v>75000</v>
          </cell>
          <cell r="G437">
            <v>69397.5</v>
          </cell>
        </row>
        <row r="438">
          <cell r="A438" t="str">
            <v>3.</v>
          </cell>
          <cell r="B438" t="str">
            <v>Motor Greder</v>
          </cell>
          <cell r="D438" t="str">
            <v>Jam</v>
          </cell>
          <cell r="E438">
            <v>8.8000000000000005E-3</v>
          </cell>
          <cell r="F438">
            <v>165000</v>
          </cell>
          <cell r="G438">
            <v>1452</v>
          </cell>
        </row>
        <row r="439">
          <cell r="A439" t="str">
            <v>4.</v>
          </cell>
          <cell r="B439" t="str">
            <v>Vibrator Roller</v>
          </cell>
          <cell r="D439" t="str">
            <v>Jam</v>
          </cell>
          <cell r="E439">
            <v>1.34E-2</v>
          </cell>
          <cell r="F439">
            <v>155000</v>
          </cell>
          <cell r="G439">
            <v>2077</v>
          </cell>
        </row>
        <row r="440">
          <cell r="A440" t="str">
            <v>5.</v>
          </cell>
          <cell r="B440" t="str">
            <v>P. Tyre Roller</v>
          </cell>
          <cell r="D440" t="str">
            <v>Jam</v>
          </cell>
          <cell r="E440">
            <v>4.0000000000000001E-3</v>
          </cell>
          <cell r="F440">
            <v>98000</v>
          </cell>
          <cell r="G440">
            <v>392</v>
          </cell>
        </row>
        <row r="441">
          <cell r="A441" t="str">
            <v>6.</v>
          </cell>
          <cell r="B441" t="str">
            <v>Water Tanker</v>
          </cell>
          <cell r="D441" t="str">
            <v>Jam</v>
          </cell>
          <cell r="E441">
            <v>1.84E-2</v>
          </cell>
          <cell r="F441">
            <v>70000</v>
          </cell>
          <cell r="G441">
            <v>1288</v>
          </cell>
        </row>
        <row r="442">
          <cell r="A442" t="str">
            <v>7.</v>
          </cell>
          <cell r="B442" t="str">
            <v>Alat Bantu</v>
          </cell>
          <cell r="D442" t="str">
            <v>Ls</v>
          </cell>
          <cell r="E442">
            <v>1</v>
          </cell>
          <cell r="F442">
            <v>1650</v>
          </cell>
          <cell r="G442">
            <v>1650</v>
          </cell>
        </row>
        <row r="444">
          <cell r="A444" t="str">
            <v>Jumlah Harga Peralatan</v>
          </cell>
          <cell r="G444">
            <v>88140.9</v>
          </cell>
        </row>
        <row r="446">
          <cell r="A446" t="str">
            <v>D</v>
          </cell>
          <cell r="B446" t="str">
            <v>JUMLAH ( A + B + C )</v>
          </cell>
          <cell r="G446">
            <v>151686.06</v>
          </cell>
        </row>
        <row r="447">
          <cell r="A447" t="str">
            <v>E</v>
          </cell>
          <cell r="B447" t="str">
            <v>KEUNTUNGAN  10,0 % X D</v>
          </cell>
          <cell r="G447">
            <v>15168.606</v>
          </cell>
        </row>
        <row r="448">
          <cell r="A448" t="str">
            <v>F</v>
          </cell>
          <cell r="B448" t="str">
            <v>HARGA SATUAN PEKERJAAN  ( D + E )</v>
          </cell>
          <cell r="G448">
            <v>166854.666</v>
          </cell>
        </row>
        <row r="449">
          <cell r="A449" t="str">
            <v>G</v>
          </cell>
          <cell r="B449" t="str">
            <v>DIBULATKAN</v>
          </cell>
          <cell r="G449">
            <v>166855</v>
          </cell>
        </row>
        <row r="451">
          <cell r="A451" t="str">
            <v>Note :       1</v>
          </cell>
          <cell r="B451" t="str">
            <v>Satuan dapat berdasarkan atas jam operasi untuk tenaga kerja dan peralatan, volume dan / atau ukuran</v>
          </cell>
        </row>
        <row r="452">
          <cell r="B452" t="str">
            <v xml:space="preserve"> berat untuk bahan-bahan</v>
          </cell>
        </row>
        <row r="453">
          <cell r="A453">
            <v>2</v>
          </cell>
          <cell r="B453" t="str">
            <v>Kuantitas Satuan adalah kuantitas setiap komponen untuk menyelesaikan satu satuan pekerjaan dari nomor</v>
          </cell>
        </row>
        <row r="454">
          <cell r="B454" t="str">
            <v>mata pembayaran</v>
          </cell>
        </row>
        <row r="455">
          <cell r="A455">
            <v>3</v>
          </cell>
          <cell r="B455" t="str">
            <v>Biaya Satuan Untuk Peralatan sudah termasuk bahan bakar, bahan habis dipakai dan operator</v>
          </cell>
        </row>
        <row r="456">
          <cell r="A456">
            <v>4</v>
          </cell>
          <cell r="B456" t="str">
            <v>Biaya Satuan sudah termasuk pengeluaran untuk seluruh pajak yang berkaitan (tetapi tidak termasuk PPN</v>
          </cell>
        </row>
        <row r="457">
          <cell r="B457" t="str">
            <v>yang dibayar dari kontrak) dan biaya-biaya lainnya</v>
          </cell>
        </row>
        <row r="461">
          <cell r="E461" t="str">
            <v>Takengon, 16 Juli 2003</v>
          </cell>
        </row>
        <row r="462">
          <cell r="E462" t="str">
            <v>CV. TRIPA KARYA</v>
          </cell>
        </row>
        <row r="468">
          <cell r="E468" t="str">
            <v>NYAK MUDDIN PUTEH</v>
          </cell>
        </row>
        <row r="469">
          <cell r="E469" t="str">
            <v>Direktur</v>
          </cell>
        </row>
        <row r="472">
          <cell r="A472" t="str">
            <v>ANALISA HARGA SATUAN MATA PEMBAYARAN</v>
          </cell>
        </row>
        <row r="475">
          <cell r="A475" t="str">
            <v>Nama Penawar</v>
          </cell>
          <cell r="C475" t="str">
            <v>:</v>
          </cell>
          <cell r="D475" t="str">
            <v>CV. TAKABEYA PERKASA</v>
          </cell>
        </row>
        <row r="476">
          <cell r="A476" t="str">
            <v>Paket</v>
          </cell>
          <cell r="C476" t="str">
            <v>:</v>
          </cell>
          <cell r="D476" t="str">
            <v xml:space="preserve">Pemeliharaan Berkala Jalan Geudong - Makam Malikussaleh - Mancang </v>
          </cell>
        </row>
        <row r="477">
          <cell r="A477" t="str">
            <v>No. Paket</v>
          </cell>
          <cell r="C477" t="str">
            <v>:</v>
          </cell>
          <cell r="D477" t="str">
            <v>P.039</v>
          </cell>
        </row>
        <row r="478">
          <cell r="A478" t="str">
            <v>Provinsi</v>
          </cell>
          <cell r="C478" t="str">
            <v>:</v>
          </cell>
          <cell r="D478" t="str">
            <v>Nanggroe Aceh Darussalam</v>
          </cell>
        </row>
        <row r="479">
          <cell r="A479" t="str">
            <v>No. Item Pembayaran</v>
          </cell>
          <cell r="C479" t="str">
            <v>:</v>
          </cell>
          <cell r="D479" t="str">
            <v>6.1 ( 1 )</v>
          </cell>
        </row>
        <row r="480">
          <cell r="A480" t="str">
            <v>Jenis Pekerjaan</v>
          </cell>
          <cell r="C480" t="str">
            <v>:</v>
          </cell>
          <cell r="D480" t="str">
            <v>Lapisan Resap Pengikat</v>
          </cell>
        </row>
        <row r="481">
          <cell r="A481" t="str">
            <v>Satuan Pembayaran</v>
          </cell>
          <cell r="C481" t="str">
            <v>:</v>
          </cell>
          <cell r="D481" t="str">
            <v>Liter</v>
          </cell>
        </row>
        <row r="485">
          <cell r="A485" t="str">
            <v>NO.</v>
          </cell>
          <cell r="B485" t="str">
            <v>KOMPONEN</v>
          </cell>
          <cell r="D485" t="str">
            <v>SATUAN</v>
          </cell>
          <cell r="E485" t="str">
            <v>PERKIRAAN</v>
          </cell>
          <cell r="F485" t="str">
            <v>HARGA SATUAN</v>
          </cell>
          <cell r="G485" t="str">
            <v>JUMLAH HARGA</v>
          </cell>
        </row>
        <row r="486">
          <cell r="E486" t="str">
            <v>KUANTITAS</v>
          </cell>
          <cell r="F486" t="str">
            <v>(Rp)</v>
          </cell>
          <cell r="G486" t="str">
            <v>(Rp)</v>
          </cell>
        </row>
        <row r="487">
          <cell r="A487" t="str">
            <v>A</v>
          </cell>
          <cell r="B487" t="str">
            <v>TENAGA KERJA</v>
          </cell>
        </row>
        <row r="489">
          <cell r="A489" t="str">
            <v>1.</v>
          </cell>
          <cell r="B489" t="str">
            <v>Pekerja</v>
          </cell>
          <cell r="D489" t="str">
            <v>Jam</v>
          </cell>
          <cell r="E489">
            <v>1.78E-2</v>
          </cell>
          <cell r="F489">
            <v>2800</v>
          </cell>
          <cell r="G489">
            <v>49.839999999999996</v>
          </cell>
        </row>
        <row r="490">
          <cell r="A490" t="str">
            <v>2.</v>
          </cell>
          <cell r="B490" t="str">
            <v>Mandor</v>
          </cell>
          <cell r="D490" t="str">
            <v>Jam</v>
          </cell>
          <cell r="E490">
            <v>1.5E-3</v>
          </cell>
          <cell r="F490">
            <v>3600</v>
          </cell>
          <cell r="G490">
            <v>5.4</v>
          </cell>
        </row>
        <row r="493">
          <cell r="A493" t="str">
            <v>Jumlah Harga Tenaga Kerja</v>
          </cell>
          <cell r="G493">
            <v>55.239999999999995</v>
          </cell>
        </row>
        <row r="494">
          <cell r="A494" t="str">
            <v>B</v>
          </cell>
          <cell r="B494" t="str">
            <v xml:space="preserve">BAHAN </v>
          </cell>
        </row>
        <row r="496">
          <cell r="A496" t="str">
            <v>1.</v>
          </cell>
          <cell r="B496" t="str">
            <v>Aspal</v>
          </cell>
          <cell r="D496" t="str">
            <v>Kg</v>
          </cell>
          <cell r="E496">
            <v>0.64170000000000005</v>
          </cell>
          <cell r="F496">
            <v>4000</v>
          </cell>
          <cell r="G496">
            <v>2566.8000000000002</v>
          </cell>
        </row>
        <row r="497">
          <cell r="A497" t="str">
            <v>2.</v>
          </cell>
          <cell r="B497" t="str">
            <v>Corosene</v>
          </cell>
          <cell r="D497" t="str">
            <v>Liter</v>
          </cell>
          <cell r="E497">
            <v>0.4899</v>
          </cell>
          <cell r="F497">
            <v>1350</v>
          </cell>
          <cell r="G497">
            <v>661.36500000000001</v>
          </cell>
        </row>
        <row r="499">
          <cell r="A499" t="str">
            <v>Jumlah Harga Bahan</v>
          </cell>
          <cell r="G499">
            <v>3228.165</v>
          </cell>
        </row>
        <row r="500">
          <cell r="A500" t="str">
            <v>C</v>
          </cell>
          <cell r="B500" t="str">
            <v>PERALATAN</v>
          </cell>
        </row>
        <row r="502">
          <cell r="A502" t="str">
            <v>1.</v>
          </cell>
          <cell r="B502" t="str">
            <v>Asphalt Sprayer</v>
          </cell>
          <cell r="D502" t="str">
            <v>Jam</v>
          </cell>
          <cell r="E502">
            <v>1.5E-3</v>
          </cell>
          <cell r="F502">
            <v>30000</v>
          </cell>
          <cell r="G502">
            <v>45</v>
          </cell>
        </row>
        <row r="503">
          <cell r="A503" t="str">
            <v>2.</v>
          </cell>
          <cell r="B503" t="str">
            <v>Compressor</v>
          </cell>
          <cell r="D503" t="str">
            <v>Jam</v>
          </cell>
          <cell r="E503">
            <v>2.8E-3</v>
          </cell>
          <cell r="F503">
            <v>43000</v>
          </cell>
          <cell r="G503">
            <v>120.4</v>
          </cell>
        </row>
        <row r="504">
          <cell r="A504" t="str">
            <v>3.</v>
          </cell>
          <cell r="B504" t="str">
            <v>Dump Truck</v>
          </cell>
          <cell r="D504" t="str">
            <v>Jam</v>
          </cell>
          <cell r="E504">
            <v>1.5E-3</v>
          </cell>
          <cell r="F504">
            <v>63000</v>
          </cell>
          <cell r="G504">
            <v>94.5</v>
          </cell>
        </row>
        <row r="506">
          <cell r="A506" t="str">
            <v>Jumlah Harga Peralatan</v>
          </cell>
          <cell r="G506">
            <v>259.89999999999998</v>
          </cell>
        </row>
        <row r="508">
          <cell r="A508" t="str">
            <v>D</v>
          </cell>
          <cell r="B508" t="str">
            <v>JUMLAH ( A + B + C )</v>
          </cell>
          <cell r="G508">
            <v>3543.3049999999998</v>
          </cell>
        </row>
        <row r="509">
          <cell r="A509" t="str">
            <v>E</v>
          </cell>
          <cell r="B509" t="str">
            <v>KEUNTUNGAN  10,0 % X D</v>
          </cell>
          <cell r="G509">
            <v>354.33050000000003</v>
          </cell>
        </row>
        <row r="510">
          <cell r="A510" t="str">
            <v>F</v>
          </cell>
          <cell r="B510" t="str">
            <v>HARGA SATUAN PEKERJAAN  ( D + E )</v>
          </cell>
          <cell r="G510">
            <v>3897.6354999999999</v>
          </cell>
        </row>
        <row r="511">
          <cell r="A511" t="str">
            <v>G</v>
          </cell>
          <cell r="B511" t="str">
            <v>DIBULATKAN</v>
          </cell>
          <cell r="G511">
            <v>3898</v>
          </cell>
        </row>
        <row r="513">
          <cell r="A513" t="str">
            <v>Note :       1</v>
          </cell>
          <cell r="B513" t="str">
            <v>Satuan dapat berdasarkan atas jam operasi untuk tenaga kerja dan peralatan, volume dan / atau ukuran</v>
          </cell>
        </row>
        <row r="514">
          <cell r="B514" t="str">
            <v xml:space="preserve"> berat untuk bahan-bahan</v>
          </cell>
        </row>
        <row r="515">
          <cell r="A515">
            <v>2</v>
          </cell>
          <cell r="B515" t="str">
            <v>Kuantitas Satuan adalah kuantitas setiap komponen untuk menyelesaikan satu satuan pekerjaan dari nomor</v>
          </cell>
        </row>
        <row r="516">
          <cell r="B516" t="str">
            <v>mata pembayaran</v>
          </cell>
        </row>
        <row r="517">
          <cell r="A517">
            <v>3</v>
          </cell>
          <cell r="B517" t="str">
            <v>Biaya Satuan Untuk Peralatan sudah termasuk bahan bakar, bahan habis dipakai dan operator</v>
          </cell>
        </row>
        <row r="518">
          <cell r="A518">
            <v>4</v>
          </cell>
          <cell r="B518" t="str">
            <v>Biaya Satuan sudah termasuk pengeluaran untuk seluruh pajak yang berkaitan (tetapi tidak termasuk PPN</v>
          </cell>
        </row>
        <row r="519">
          <cell r="B519" t="str">
            <v>yang dibayar dari kontrak) dan biaya-biaya lainnya</v>
          </cell>
        </row>
        <row r="523">
          <cell r="E523" t="str">
            <v>Takengon, 16 Juli 2003</v>
          </cell>
        </row>
        <row r="524">
          <cell r="E524" t="str">
            <v>CV. TRIPA KARYA</v>
          </cell>
        </row>
        <row r="530">
          <cell r="E530" t="str">
            <v>NYAK MUDDIN PUTEH</v>
          </cell>
        </row>
        <row r="531">
          <cell r="E531" t="str">
            <v>Direktur</v>
          </cell>
        </row>
        <row r="535">
          <cell r="A535" t="str">
            <v>ANALISA HARGA SATUAN MATA PEMBAYARAN</v>
          </cell>
        </row>
        <row r="537">
          <cell r="A537" t="str">
            <v>Nama Penawar</v>
          </cell>
          <cell r="C537" t="str">
            <v>:</v>
          </cell>
          <cell r="D537" t="str">
            <v>CV. TAKABEYA PERKASA</v>
          </cell>
        </row>
        <row r="538">
          <cell r="A538" t="str">
            <v>Paket</v>
          </cell>
          <cell r="C538" t="str">
            <v>:</v>
          </cell>
          <cell r="D538" t="str">
            <v xml:space="preserve">Pemeliharaan Berkala Jalan Geudong - Makam Malikussaleh - Mancang </v>
          </cell>
        </row>
        <row r="539">
          <cell r="A539" t="str">
            <v>No. Paket</v>
          </cell>
          <cell r="C539" t="str">
            <v>:</v>
          </cell>
          <cell r="D539" t="str">
            <v>P.039</v>
          </cell>
        </row>
        <row r="540">
          <cell r="A540" t="str">
            <v>Provinsi</v>
          </cell>
          <cell r="C540" t="str">
            <v>:</v>
          </cell>
          <cell r="D540" t="str">
            <v>Nanggroe Aceh Darussalam</v>
          </cell>
        </row>
        <row r="541">
          <cell r="A541" t="str">
            <v>No. Item Pembayaran</v>
          </cell>
          <cell r="C541" t="str">
            <v>:</v>
          </cell>
          <cell r="D541" t="str">
            <v>6.1 ( 2 )</v>
          </cell>
        </row>
        <row r="542">
          <cell r="A542" t="str">
            <v>Jenis Pekerjaan</v>
          </cell>
          <cell r="C542" t="str">
            <v>:</v>
          </cell>
          <cell r="D542" t="str">
            <v>LAPISAN PEREKAT</v>
          </cell>
        </row>
        <row r="543">
          <cell r="A543" t="str">
            <v>Satuan Pembayaran</v>
          </cell>
          <cell r="C543" t="str">
            <v>:</v>
          </cell>
          <cell r="D543" t="str">
            <v>LITER</v>
          </cell>
        </row>
        <row r="547">
          <cell r="A547" t="str">
            <v>NO.</v>
          </cell>
          <cell r="B547" t="str">
            <v>KOMPONEN</v>
          </cell>
          <cell r="D547" t="str">
            <v>SATUAN</v>
          </cell>
          <cell r="E547" t="str">
            <v>PERKIRAAN</v>
          </cell>
          <cell r="F547" t="str">
            <v>BIAYA SATUAN</v>
          </cell>
          <cell r="G547" t="str">
            <v>JUMLAH HARGA</v>
          </cell>
        </row>
        <row r="548">
          <cell r="E548" t="str">
            <v>KUANTITAS</v>
          </cell>
          <cell r="F548" t="str">
            <v>(Rp)</v>
          </cell>
          <cell r="G548" t="str">
            <v>(Rp)</v>
          </cell>
        </row>
        <row r="549">
          <cell r="A549" t="str">
            <v>A</v>
          </cell>
          <cell r="B549" t="str">
            <v>TENAGA KERJA</v>
          </cell>
        </row>
        <row r="551">
          <cell r="A551" t="str">
            <v>1.</v>
          </cell>
          <cell r="B551" t="str">
            <v>Pekerja</v>
          </cell>
          <cell r="D551" t="str">
            <v>Jam</v>
          </cell>
          <cell r="E551">
            <v>1.78E-2</v>
          </cell>
          <cell r="F551">
            <v>2800</v>
          </cell>
          <cell r="G551">
            <v>49.839999999999996</v>
          </cell>
        </row>
        <row r="552">
          <cell r="A552" t="str">
            <v>2.</v>
          </cell>
          <cell r="B552" t="str">
            <v>Mandor</v>
          </cell>
          <cell r="D552" t="str">
            <v>Jam</v>
          </cell>
          <cell r="E552">
            <v>1.5E-3</v>
          </cell>
          <cell r="F552">
            <v>3600</v>
          </cell>
          <cell r="G552">
            <v>5.4</v>
          </cell>
        </row>
        <row r="555">
          <cell r="A555" t="str">
            <v>Jumlah Harga Tenaga Kerja</v>
          </cell>
          <cell r="G555">
            <v>55.239999999999995</v>
          </cell>
        </row>
        <row r="556">
          <cell r="A556" t="str">
            <v>B</v>
          </cell>
          <cell r="B556" t="str">
            <v xml:space="preserve">BAHAN </v>
          </cell>
        </row>
        <row r="558">
          <cell r="A558" t="str">
            <v>1.</v>
          </cell>
          <cell r="B558" t="str">
            <v>Aspal</v>
          </cell>
          <cell r="D558" t="str">
            <v>Kg</v>
          </cell>
          <cell r="E558">
            <v>0.88800000000000001</v>
          </cell>
          <cell r="F558">
            <v>4000</v>
          </cell>
          <cell r="G558">
            <v>3552</v>
          </cell>
        </row>
        <row r="559">
          <cell r="A559" t="str">
            <v>2.</v>
          </cell>
          <cell r="B559" t="str">
            <v>Corosene</v>
          </cell>
          <cell r="D559" t="str">
            <v>Liter</v>
          </cell>
          <cell r="E559">
            <v>0.253</v>
          </cell>
          <cell r="F559">
            <v>1350</v>
          </cell>
          <cell r="G559">
            <v>341.55</v>
          </cell>
        </row>
        <row r="561">
          <cell r="A561" t="str">
            <v>Jumlah Harga Bahan</v>
          </cell>
          <cell r="G561">
            <v>3893.55</v>
          </cell>
        </row>
        <row r="562">
          <cell r="A562" t="str">
            <v>C</v>
          </cell>
          <cell r="B562" t="str">
            <v>PERALATAN</v>
          </cell>
        </row>
        <row r="564">
          <cell r="A564" t="str">
            <v>1.</v>
          </cell>
          <cell r="B564" t="str">
            <v>Asphalt Sprayer</v>
          </cell>
          <cell r="D564" t="str">
            <v>Jam</v>
          </cell>
          <cell r="E564">
            <v>2.8E-3</v>
          </cell>
          <cell r="F564">
            <v>30000</v>
          </cell>
          <cell r="G564">
            <v>84</v>
          </cell>
        </row>
        <row r="565">
          <cell r="A565" t="str">
            <v>2.</v>
          </cell>
          <cell r="B565" t="str">
            <v>Compressor</v>
          </cell>
          <cell r="D565" t="str">
            <v>Jam</v>
          </cell>
          <cell r="E565">
            <v>6.4000000000000003E-3</v>
          </cell>
          <cell r="F565">
            <v>43000</v>
          </cell>
          <cell r="G565">
            <v>275.2</v>
          </cell>
        </row>
        <row r="566">
          <cell r="A566" t="str">
            <v>3.</v>
          </cell>
          <cell r="B566" t="str">
            <v>Dump Truck</v>
          </cell>
          <cell r="D566" t="str">
            <v>Jam</v>
          </cell>
          <cell r="E566">
            <v>2.8E-3</v>
          </cell>
          <cell r="F566">
            <v>63000</v>
          </cell>
          <cell r="G566">
            <v>176.4</v>
          </cell>
        </row>
        <row r="568">
          <cell r="A568" t="str">
            <v>Jumlah Harga Peralatan</v>
          </cell>
          <cell r="G568">
            <v>535.6</v>
          </cell>
        </row>
        <row r="570">
          <cell r="A570" t="str">
            <v>D</v>
          </cell>
          <cell r="B570" t="str">
            <v>JUMLAH ( A + B + C )</v>
          </cell>
          <cell r="G570">
            <v>4484.3900000000003</v>
          </cell>
        </row>
        <row r="571">
          <cell r="A571" t="str">
            <v>E</v>
          </cell>
          <cell r="B571" t="str">
            <v>KEUNTUNGAN  10,0 % X D</v>
          </cell>
          <cell r="G571">
            <v>448.43900000000008</v>
          </cell>
        </row>
        <row r="572">
          <cell r="A572" t="str">
            <v>F</v>
          </cell>
          <cell r="B572" t="str">
            <v>HARGA SATUAN PEKERJAAN  ( D + E )</v>
          </cell>
          <cell r="G572">
            <v>4932.8290000000006</v>
          </cell>
        </row>
        <row r="573">
          <cell r="A573" t="str">
            <v>G</v>
          </cell>
          <cell r="B573" t="str">
            <v>DIBULATKAN</v>
          </cell>
          <cell r="G573">
            <v>4933</v>
          </cell>
        </row>
        <row r="575">
          <cell r="A575" t="str">
            <v>Note :</v>
          </cell>
          <cell r="B575" t="str">
            <v>1.  Satuan dapat berdasarkan atas jam operasi untuk tenaga kerja dan peralatan, volume dan / atau ukuran</v>
          </cell>
        </row>
        <row r="576">
          <cell r="B576" t="str">
            <v xml:space="preserve"> berat untuk bahan-bahan</v>
          </cell>
        </row>
        <row r="577">
          <cell r="B577" t="str">
            <v>2.  Kuantitas Satuan adalah kuantitas setiap komponen untuk menyelesaikan satu satuan pekerjaan dari nomor</v>
          </cell>
        </row>
        <row r="578">
          <cell r="B578" t="str">
            <v>mata pembayaran</v>
          </cell>
        </row>
        <row r="579">
          <cell r="B579" t="str">
            <v>3.  Biaya Satuan Untuk Peralatan sudah termasuk bahan bakar, bahan habis dipakai dan operator</v>
          </cell>
        </row>
        <row r="580">
          <cell r="B580" t="str">
            <v>4.  Biaya Satuan sudah termasuk pengeluaran untuk seluruh pajak yang berkaitan (tetapi tidak termasuk PPN</v>
          </cell>
        </row>
        <row r="581">
          <cell r="B581" t="str">
            <v>yang dibayar dari kontrak) dan biaya-biaya lainnya</v>
          </cell>
        </row>
        <row r="584">
          <cell r="E584" t="str">
            <v>Takengon, 16 Juli 2003</v>
          </cell>
        </row>
        <row r="585">
          <cell r="E585" t="str">
            <v>CV. TRIPA KARYA</v>
          </cell>
        </row>
        <row r="591">
          <cell r="E591" t="str">
            <v>NYAK MUDDIN PUTEH</v>
          </cell>
        </row>
        <row r="592">
          <cell r="E592" t="str">
            <v>Direktur</v>
          </cell>
        </row>
        <row r="594">
          <cell r="A594" t="str">
            <v>ANALISA HARGA SATUAN MATA PEMBAYARAN</v>
          </cell>
        </row>
        <row r="596">
          <cell r="A596" t="str">
            <v>Nama Penawar</v>
          </cell>
          <cell r="C596" t="str">
            <v>:</v>
          </cell>
          <cell r="D596" t="str">
            <v>CV. TAKABEYA PERKASA</v>
          </cell>
        </row>
        <row r="597">
          <cell r="A597" t="str">
            <v>Paket</v>
          </cell>
          <cell r="C597" t="str">
            <v>:</v>
          </cell>
          <cell r="D597" t="str">
            <v xml:space="preserve">Pemeliharaan Berkala Jalan Geudong - Makam Malikussaleh - Mancang </v>
          </cell>
        </row>
        <row r="598">
          <cell r="A598" t="str">
            <v>No. Paket</v>
          </cell>
          <cell r="C598" t="str">
            <v>:</v>
          </cell>
          <cell r="D598" t="str">
            <v>P.039</v>
          </cell>
        </row>
        <row r="599">
          <cell r="A599" t="str">
            <v>Provinsi</v>
          </cell>
          <cell r="C599" t="str">
            <v>:</v>
          </cell>
          <cell r="D599" t="str">
            <v>Nanggroe Aceh Darussalam</v>
          </cell>
        </row>
        <row r="600">
          <cell r="A600" t="str">
            <v>No. Item Pembayaran</v>
          </cell>
          <cell r="C600" t="str">
            <v>:</v>
          </cell>
          <cell r="D600" t="str">
            <v>6.3 ( 4 )</v>
          </cell>
        </row>
        <row r="601">
          <cell r="A601" t="str">
            <v>Jenis Pekerjaan</v>
          </cell>
          <cell r="C601" t="str">
            <v>:</v>
          </cell>
          <cell r="D601" t="str">
            <v>Laston   ( AC )</v>
          </cell>
        </row>
        <row r="602">
          <cell r="A602" t="str">
            <v>Satuan Pembayaran</v>
          </cell>
          <cell r="C602" t="str">
            <v>:</v>
          </cell>
          <cell r="D602" t="str">
            <v>M2</v>
          </cell>
        </row>
        <row r="605">
          <cell r="A605" t="str">
            <v>NO.</v>
          </cell>
          <cell r="B605" t="str">
            <v>KOMPONEN</v>
          </cell>
          <cell r="D605" t="str">
            <v>SATUAN</v>
          </cell>
          <cell r="E605" t="str">
            <v>PERKIRAAN</v>
          </cell>
          <cell r="F605" t="str">
            <v>BIAYA SATUAN</v>
          </cell>
          <cell r="G605" t="str">
            <v>JUMLAH HARGA</v>
          </cell>
        </row>
        <row r="606">
          <cell r="E606" t="str">
            <v>KUANTITAS</v>
          </cell>
          <cell r="F606" t="str">
            <v>(Rp)</v>
          </cell>
          <cell r="G606" t="str">
            <v>(Rp)</v>
          </cell>
        </row>
        <row r="607">
          <cell r="A607" t="str">
            <v>A</v>
          </cell>
          <cell r="B607" t="str">
            <v>TENAGA KERJA</v>
          </cell>
        </row>
        <row r="609">
          <cell r="A609" t="str">
            <v>1.</v>
          </cell>
          <cell r="B609" t="str">
            <v>Pekerja</v>
          </cell>
          <cell r="D609" t="str">
            <v>Jam</v>
          </cell>
          <cell r="E609">
            <v>1.5700000000000002E-2</v>
          </cell>
          <cell r="F609">
            <v>2800</v>
          </cell>
          <cell r="G609">
            <v>43.960000000000008</v>
          </cell>
        </row>
        <row r="610">
          <cell r="A610" t="str">
            <v>2.</v>
          </cell>
          <cell r="B610" t="str">
            <v>Mandor</v>
          </cell>
          <cell r="D610" t="str">
            <v>Jam</v>
          </cell>
          <cell r="E610">
            <v>2.6999999999999997E-3</v>
          </cell>
          <cell r="F610">
            <v>3600</v>
          </cell>
          <cell r="G610">
            <v>9.7199999999999989</v>
          </cell>
        </row>
        <row r="613">
          <cell r="A613" t="str">
            <v>Jumlah Harga Tenaga Kerja</v>
          </cell>
          <cell r="G613">
            <v>53.680000000000007</v>
          </cell>
        </row>
        <row r="614">
          <cell r="A614" t="str">
            <v>B</v>
          </cell>
          <cell r="B614" t="str">
            <v xml:space="preserve">BAHAN </v>
          </cell>
        </row>
        <row r="616">
          <cell r="A616" t="str">
            <v>1.</v>
          </cell>
          <cell r="B616" t="str">
            <v>Agregate Kasar</v>
          </cell>
          <cell r="D616" t="str">
            <v>M3</v>
          </cell>
          <cell r="E616">
            <v>2.4799999999999999E-2</v>
          </cell>
          <cell r="F616">
            <v>49000</v>
          </cell>
          <cell r="G616">
            <v>1215.2</v>
          </cell>
        </row>
        <row r="617">
          <cell r="A617" t="str">
            <v>2.</v>
          </cell>
          <cell r="B617" t="str">
            <v>Agregate Halus</v>
          </cell>
          <cell r="D617" t="str">
            <v>M3</v>
          </cell>
          <cell r="E617">
            <v>2.3099999999999999E-2</v>
          </cell>
          <cell r="F617">
            <v>55000</v>
          </cell>
          <cell r="G617">
            <v>1270.5</v>
          </cell>
        </row>
        <row r="618">
          <cell r="A618" t="str">
            <v>3.</v>
          </cell>
          <cell r="B618" t="str">
            <v>Filler</v>
          </cell>
          <cell r="D618" t="str">
            <v>Kg</v>
          </cell>
          <cell r="E618">
            <v>5.94</v>
          </cell>
          <cell r="F618">
            <v>400</v>
          </cell>
          <cell r="G618">
            <v>2376</v>
          </cell>
        </row>
        <row r="619">
          <cell r="A619" t="str">
            <v>4.</v>
          </cell>
          <cell r="B619" t="str">
            <v>Aspal</v>
          </cell>
          <cell r="D619" t="str">
            <v>Kg</v>
          </cell>
          <cell r="E619">
            <v>6.6150000000000002</v>
          </cell>
          <cell r="F619">
            <v>4000</v>
          </cell>
          <cell r="G619">
            <v>26460</v>
          </cell>
        </row>
        <row r="622">
          <cell r="A622" t="str">
            <v>Jumlah Harga Bahan</v>
          </cell>
          <cell r="G622">
            <v>31321.7</v>
          </cell>
        </row>
        <row r="623">
          <cell r="A623" t="str">
            <v>C</v>
          </cell>
          <cell r="B623" t="str">
            <v>PERALATAN</v>
          </cell>
        </row>
        <row r="625">
          <cell r="A625" t="str">
            <v>1.</v>
          </cell>
          <cell r="B625" t="str">
            <v>Whell Loader</v>
          </cell>
          <cell r="D625" t="str">
            <v>Jam</v>
          </cell>
          <cell r="E625">
            <v>2.0999999999999999E-3</v>
          </cell>
          <cell r="F625">
            <v>148000</v>
          </cell>
          <cell r="G625">
            <v>310.79999999999995</v>
          </cell>
        </row>
        <row r="626">
          <cell r="A626" t="str">
            <v>2.</v>
          </cell>
          <cell r="B626" t="str">
            <v>AMP</v>
          </cell>
          <cell r="D626" t="str">
            <v>Jam</v>
          </cell>
          <cell r="E626">
            <v>2.8E-3</v>
          </cell>
          <cell r="F626">
            <v>1295000</v>
          </cell>
          <cell r="G626">
            <v>3626</v>
          </cell>
        </row>
        <row r="627">
          <cell r="A627" t="str">
            <v>3.</v>
          </cell>
          <cell r="B627" t="str">
            <v>Generator Set</v>
          </cell>
          <cell r="D627" t="str">
            <v>Jam</v>
          </cell>
          <cell r="E627">
            <v>2.8E-3</v>
          </cell>
          <cell r="F627">
            <v>82000</v>
          </cell>
          <cell r="G627">
            <v>229.6</v>
          </cell>
        </row>
        <row r="628">
          <cell r="A628" t="str">
            <v>4.</v>
          </cell>
          <cell r="B628" t="str">
            <v>Damp Truck</v>
          </cell>
          <cell r="D628" t="str">
            <v>Jam</v>
          </cell>
          <cell r="E628">
            <v>5.0100000000000006E-2</v>
          </cell>
          <cell r="F628">
            <v>75000</v>
          </cell>
          <cell r="G628">
            <v>3757.5000000000005</v>
          </cell>
        </row>
        <row r="629">
          <cell r="A629" t="str">
            <v>5.</v>
          </cell>
          <cell r="B629" t="str">
            <v>Asphalt Finisher</v>
          </cell>
          <cell r="D629" t="str">
            <v>Jam</v>
          </cell>
          <cell r="E629">
            <v>3.3E-3</v>
          </cell>
          <cell r="F629">
            <v>75000</v>
          </cell>
          <cell r="G629">
            <v>247.5</v>
          </cell>
        </row>
        <row r="630">
          <cell r="A630" t="str">
            <v>6.</v>
          </cell>
          <cell r="B630" t="str">
            <v>Tandem Roller</v>
          </cell>
          <cell r="D630" t="str">
            <v>Jam</v>
          </cell>
          <cell r="E630">
            <v>1.8E-3</v>
          </cell>
          <cell r="F630">
            <v>76000</v>
          </cell>
          <cell r="G630">
            <v>136.79999999999998</v>
          </cell>
        </row>
        <row r="631">
          <cell r="A631" t="str">
            <v>7.</v>
          </cell>
          <cell r="B631" t="str">
            <v>Peunematic Tyre Roller</v>
          </cell>
          <cell r="D631" t="str">
            <v>Jam</v>
          </cell>
          <cell r="E631">
            <v>2.3999999999999998E-3</v>
          </cell>
          <cell r="F631">
            <v>98000</v>
          </cell>
          <cell r="G631">
            <v>235.2</v>
          </cell>
        </row>
        <row r="632">
          <cell r="A632" t="str">
            <v>8.</v>
          </cell>
          <cell r="B632" t="str">
            <v>Alat Bantu</v>
          </cell>
          <cell r="D632" t="str">
            <v>Ls</v>
          </cell>
          <cell r="E632">
            <v>1</v>
          </cell>
          <cell r="F632">
            <v>175</v>
          </cell>
          <cell r="G632">
            <v>175</v>
          </cell>
        </row>
        <row r="634">
          <cell r="A634" t="str">
            <v>Jumlah Harga Peralatan</v>
          </cell>
          <cell r="G634">
            <v>8718.4000000000015</v>
          </cell>
        </row>
        <row r="636">
          <cell r="A636" t="str">
            <v>D</v>
          </cell>
          <cell r="B636" t="str">
            <v>JUMLAH ( A + B + C )</v>
          </cell>
          <cell r="G636">
            <v>40093.78</v>
          </cell>
        </row>
        <row r="637">
          <cell r="A637" t="str">
            <v>E</v>
          </cell>
          <cell r="B637" t="str">
            <v>KEUNTUNGAN  10,0 % X D</v>
          </cell>
          <cell r="G637">
            <v>4009.3780000000002</v>
          </cell>
        </row>
        <row r="638">
          <cell r="A638" t="str">
            <v>F</v>
          </cell>
          <cell r="B638" t="str">
            <v>HARGA SATUAN PEKERJAAN  ( D + E )</v>
          </cell>
          <cell r="G638">
            <v>44103.157999999996</v>
          </cell>
        </row>
        <row r="639">
          <cell r="A639" t="str">
            <v>G</v>
          </cell>
          <cell r="B639" t="str">
            <v>DIBULATKAN</v>
          </cell>
          <cell r="G639">
            <v>44103</v>
          </cell>
        </row>
        <row r="641">
          <cell r="A641" t="str">
            <v>Note :     1</v>
          </cell>
          <cell r="B641" t="str">
            <v>Satuan dapat berdasarkan atas jam operasi untuk tenaga kerja dan peralatan, volume dan / atau ukuran berat untuk bahan-bahan</v>
          </cell>
        </row>
        <row r="643">
          <cell r="A643">
            <v>2</v>
          </cell>
          <cell r="B643" t="str">
            <v>Kuantitas Satuan adalah kuantitas setiap komponen untuk menyelesaikan satu satuan pekerjaan dari nomor mata pembayaran</v>
          </cell>
        </row>
        <row r="645">
          <cell r="A645">
            <v>3</v>
          </cell>
          <cell r="B645" t="str">
            <v>Biaya Satuan Untuk Peralatan sudah termasuk bahan bakar, bahan habis dipakai dan operator</v>
          </cell>
        </row>
        <row r="646">
          <cell r="A646">
            <v>4</v>
          </cell>
          <cell r="B646" t="str">
            <v>Biaya Satuan sudah termasuk pengeluaran untuk seluruh pajak yang berkaitan (tetapi tidak termasuk PPN yang dibayar dari kontrak) dan biaya-biaya lainnya</v>
          </cell>
        </row>
        <row r="648">
          <cell r="A648">
            <v>5</v>
          </cell>
          <cell r="B648" t="str">
            <v>Biaya satuan sudah termasuk biaya quality control</v>
          </cell>
        </row>
        <row r="653">
          <cell r="E653" t="str">
            <v>Takengon, 16 Juli 2003</v>
          </cell>
        </row>
        <row r="654">
          <cell r="E654" t="str">
            <v>CV. TRIPA KARYA</v>
          </cell>
        </row>
        <row r="660">
          <cell r="E660" t="str">
            <v>NYAK MUDDIN PUTEH</v>
          </cell>
        </row>
        <row r="661">
          <cell r="E661" t="str">
            <v>Direktur</v>
          </cell>
        </row>
        <row r="663">
          <cell r="A663" t="str">
            <v>ANALISA HARGA SATUAN MATA PEMBAYARAN</v>
          </cell>
        </row>
        <row r="665">
          <cell r="A665" t="str">
            <v>Nama Penawar</v>
          </cell>
          <cell r="C665" t="str">
            <v>:</v>
          </cell>
          <cell r="D665" t="str">
            <v>CV. TAKABEYA PERKASA</v>
          </cell>
        </row>
        <row r="666">
          <cell r="A666" t="str">
            <v>Paket</v>
          </cell>
          <cell r="C666" t="str">
            <v>:</v>
          </cell>
          <cell r="D666" t="str">
            <v xml:space="preserve">Pemeliharaan Berkala Jalan Geudong - Makam Malikussaleh - Mancang </v>
          </cell>
        </row>
        <row r="667">
          <cell r="A667" t="str">
            <v>No. Paket</v>
          </cell>
          <cell r="C667" t="str">
            <v>:</v>
          </cell>
          <cell r="D667" t="str">
            <v>P.039</v>
          </cell>
        </row>
        <row r="668">
          <cell r="A668" t="str">
            <v>Provinsi</v>
          </cell>
          <cell r="C668" t="str">
            <v>:</v>
          </cell>
          <cell r="D668" t="str">
            <v>Nanggroe Aceh Darussalam</v>
          </cell>
        </row>
        <row r="669">
          <cell r="A669" t="str">
            <v>No. Item Pembayaran</v>
          </cell>
          <cell r="C669" t="str">
            <v>:</v>
          </cell>
          <cell r="D669" t="str">
            <v>6.3 ( 5 )</v>
          </cell>
        </row>
        <row r="670">
          <cell r="A670" t="str">
            <v>Jenis Pekerjaan</v>
          </cell>
          <cell r="C670" t="str">
            <v>:</v>
          </cell>
          <cell r="D670" t="str">
            <v>Asphalt Treated Base  ( ATB )</v>
          </cell>
        </row>
        <row r="671">
          <cell r="A671" t="str">
            <v>Satuan Pembayaran</v>
          </cell>
          <cell r="C671" t="str">
            <v>:</v>
          </cell>
          <cell r="D671" t="str">
            <v>M3</v>
          </cell>
        </row>
        <row r="674">
          <cell r="A674" t="str">
            <v>NO.</v>
          </cell>
          <cell r="B674" t="str">
            <v>KOMPONEN</v>
          </cell>
          <cell r="D674" t="str">
            <v>SATUAN</v>
          </cell>
          <cell r="E674" t="str">
            <v>PERKIRAAN</v>
          </cell>
          <cell r="F674" t="str">
            <v>BIAYA SATUAN</v>
          </cell>
          <cell r="G674" t="str">
            <v>JUMLAH HARGA</v>
          </cell>
        </row>
        <row r="675">
          <cell r="E675" t="str">
            <v>KUANTITAS</v>
          </cell>
          <cell r="F675" t="str">
            <v>(Rp)</v>
          </cell>
          <cell r="G675" t="str">
            <v>(Rp)</v>
          </cell>
        </row>
        <row r="676">
          <cell r="A676" t="str">
            <v>A</v>
          </cell>
          <cell r="B676" t="str">
            <v>TENAGA KERJA</v>
          </cell>
        </row>
        <row r="678">
          <cell r="A678" t="str">
            <v>1.</v>
          </cell>
          <cell r="B678" t="str">
            <v>Pekerja</v>
          </cell>
          <cell r="D678" t="str">
            <v>Jam</v>
          </cell>
          <cell r="E678">
            <v>0.3896</v>
          </cell>
          <cell r="F678">
            <v>2800</v>
          </cell>
          <cell r="G678">
            <v>1090.8800000000001</v>
          </cell>
        </row>
        <row r="679">
          <cell r="A679" t="str">
            <v>2.</v>
          </cell>
          <cell r="B679" t="str">
            <v>Mandor</v>
          </cell>
          <cell r="D679" t="str">
            <v>Jam</v>
          </cell>
          <cell r="E679">
            <v>5.6900000000000006E-2</v>
          </cell>
          <cell r="F679">
            <v>3600</v>
          </cell>
          <cell r="G679">
            <v>204.84000000000003</v>
          </cell>
        </row>
        <row r="682">
          <cell r="A682" t="str">
            <v>Jumlah Harga Tenaga Kerja</v>
          </cell>
          <cell r="G682">
            <v>1295.7200000000003</v>
          </cell>
        </row>
        <row r="683">
          <cell r="A683" t="str">
            <v>B</v>
          </cell>
          <cell r="B683" t="str">
            <v xml:space="preserve">BAHAN </v>
          </cell>
        </row>
        <row r="685">
          <cell r="A685" t="str">
            <v>1.</v>
          </cell>
          <cell r="B685" t="str">
            <v>Agregate Kasar</v>
          </cell>
          <cell r="D685" t="str">
            <v>M3</v>
          </cell>
          <cell r="E685">
            <v>0.70279999999999998</v>
          </cell>
          <cell r="F685">
            <v>49000</v>
          </cell>
          <cell r="G685">
            <v>34437.199999999997</v>
          </cell>
        </row>
        <row r="686">
          <cell r="A686" t="str">
            <v>2.</v>
          </cell>
          <cell r="B686" t="str">
            <v>Agregate Halus</v>
          </cell>
          <cell r="D686" t="str">
            <v>M3</v>
          </cell>
          <cell r="E686">
            <v>0.53059999999999996</v>
          </cell>
          <cell r="F686">
            <v>55000</v>
          </cell>
          <cell r="G686">
            <v>29182.999999999996</v>
          </cell>
        </row>
        <row r="687">
          <cell r="A687" t="str">
            <v>3.</v>
          </cell>
          <cell r="B687" t="str">
            <v>Filler</v>
          </cell>
          <cell r="D687" t="str">
            <v>Kg</v>
          </cell>
          <cell r="E687">
            <v>145.5</v>
          </cell>
          <cell r="F687">
            <v>400</v>
          </cell>
          <cell r="G687">
            <v>58200</v>
          </cell>
        </row>
        <row r="688">
          <cell r="A688" t="str">
            <v>4.</v>
          </cell>
          <cell r="B688" t="str">
            <v>Aspal</v>
          </cell>
          <cell r="D688" t="str">
            <v>Kg</v>
          </cell>
          <cell r="E688">
            <v>157</v>
          </cell>
          <cell r="F688">
            <v>4000</v>
          </cell>
          <cell r="G688">
            <v>628000</v>
          </cell>
        </row>
        <row r="691">
          <cell r="A691" t="str">
            <v>Jumlah Harga Bahan</v>
          </cell>
          <cell r="G691">
            <v>749820.2</v>
          </cell>
        </row>
        <row r="692">
          <cell r="A692" t="str">
            <v>C</v>
          </cell>
          <cell r="B692" t="str">
            <v>PERALATAN</v>
          </cell>
        </row>
        <row r="694">
          <cell r="A694" t="str">
            <v>1.</v>
          </cell>
          <cell r="B694" t="str">
            <v>Whell Loader</v>
          </cell>
          <cell r="D694" t="str">
            <v>Jam</v>
          </cell>
          <cell r="E694">
            <v>3.8400000000000004E-2</v>
          </cell>
          <cell r="F694">
            <v>148000</v>
          </cell>
          <cell r="G694">
            <v>5683.2000000000007</v>
          </cell>
        </row>
        <row r="695">
          <cell r="A695" t="str">
            <v>2.</v>
          </cell>
          <cell r="B695" t="str">
            <v>AMP</v>
          </cell>
          <cell r="D695" t="str">
            <v>Jam</v>
          </cell>
          <cell r="E695">
            <v>5.5800000000000002E-2</v>
          </cell>
          <cell r="F695">
            <v>1295000</v>
          </cell>
          <cell r="G695">
            <v>72261</v>
          </cell>
        </row>
        <row r="696">
          <cell r="A696" t="str">
            <v>3.</v>
          </cell>
          <cell r="B696" t="str">
            <v>Generator Set</v>
          </cell>
          <cell r="D696" t="str">
            <v>Jam</v>
          </cell>
          <cell r="E696">
            <v>5.5800000000000002E-2</v>
          </cell>
          <cell r="F696">
            <v>82000</v>
          </cell>
          <cell r="G696">
            <v>4575.6000000000004</v>
          </cell>
        </row>
        <row r="697">
          <cell r="A697" t="str">
            <v>4.</v>
          </cell>
          <cell r="B697" t="str">
            <v>Damp Truck</v>
          </cell>
          <cell r="D697" t="str">
            <v>Jam</v>
          </cell>
          <cell r="E697">
            <v>1.2688999999999999</v>
          </cell>
          <cell r="F697">
            <v>75000</v>
          </cell>
          <cell r="G697">
            <v>95167.5</v>
          </cell>
        </row>
        <row r="698">
          <cell r="A698" t="str">
            <v>5.</v>
          </cell>
          <cell r="B698" t="str">
            <v>Asphalt Finisher</v>
          </cell>
          <cell r="D698" t="str">
            <v>Jam</v>
          </cell>
          <cell r="E698">
            <v>7.7100000000000002E-2</v>
          </cell>
          <cell r="F698">
            <v>75000</v>
          </cell>
          <cell r="G698">
            <v>5782.5</v>
          </cell>
        </row>
        <row r="699">
          <cell r="A699" t="str">
            <v>6.</v>
          </cell>
          <cell r="B699" t="str">
            <v>Tandem Roller</v>
          </cell>
          <cell r="D699" t="str">
            <v>Jam</v>
          </cell>
          <cell r="E699">
            <v>5.7800000000000004E-2</v>
          </cell>
          <cell r="F699">
            <v>76000</v>
          </cell>
          <cell r="G699">
            <v>4392.8</v>
          </cell>
        </row>
        <row r="700">
          <cell r="A700" t="str">
            <v>7.</v>
          </cell>
          <cell r="B700" t="str">
            <v>Peunematic Tyre Roller</v>
          </cell>
          <cell r="D700" t="str">
            <v>Jam</v>
          </cell>
          <cell r="E700">
            <v>3.2500000000000001E-2</v>
          </cell>
          <cell r="F700">
            <v>98000</v>
          </cell>
          <cell r="G700">
            <v>3185</v>
          </cell>
        </row>
        <row r="701">
          <cell r="A701" t="str">
            <v>8.</v>
          </cell>
          <cell r="B701" t="str">
            <v>Alat Bantu</v>
          </cell>
          <cell r="D701" t="str">
            <v>Ls</v>
          </cell>
          <cell r="E701">
            <v>1</v>
          </cell>
          <cell r="F701">
            <v>2000</v>
          </cell>
          <cell r="G701">
            <v>2000</v>
          </cell>
        </row>
        <row r="703">
          <cell r="A703" t="str">
            <v>Jumlah Harga Peralatan</v>
          </cell>
          <cell r="G703">
            <v>193047.59999999998</v>
          </cell>
        </row>
        <row r="705">
          <cell r="A705" t="str">
            <v>D</v>
          </cell>
          <cell r="B705" t="str">
            <v>JUMLAH ( A + B + C )</v>
          </cell>
          <cell r="G705">
            <v>944163.5199999999</v>
          </cell>
        </row>
        <row r="706">
          <cell r="A706" t="str">
            <v>E</v>
          </cell>
          <cell r="B706" t="str">
            <v>KEUNTUNGAN  10,0 % X D</v>
          </cell>
          <cell r="G706">
            <v>94416.351999999999</v>
          </cell>
        </row>
        <row r="707">
          <cell r="A707" t="str">
            <v>F</v>
          </cell>
          <cell r="B707" t="str">
            <v>HARGA SATUAN PEKERJAAN  ( D + E )</v>
          </cell>
          <cell r="G707">
            <v>1038579.8719999999</v>
          </cell>
        </row>
        <row r="708">
          <cell r="A708" t="str">
            <v>G</v>
          </cell>
          <cell r="B708" t="str">
            <v>DIBULATKAN</v>
          </cell>
          <cell r="G708">
            <v>1038580</v>
          </cell>
        </row>
        <row r="710">
          <cell r="A710" t="str">
            <v>Note :     1</v>
          </cell>
          <cell r="B710" t="str">
            <v>Satuan dapat berdasarkan atas jam operasi untuk tenaga kerja dan peralatan, volume dan / atau ukuran berat untuk bahan-bahan</v>
          </cell>
        </row>
        <row r="712">
          <cell r="A712">
            <v>2</v>
          </cell>
          <cell r="B712" t="str">
            <v>Kuantitas Satuan adalah kuantitas setiap komponen untuk menyelesaikan satu satuan pekerjaan dari nomor mata pembayaran</v>
          </cell>
        </row>
        <row r="714">
          <cell r="A714">
            <v>3</v>
          </cell>
          <cell r="B714" t="str">
            <v>Biaya Satuan Untuk Peralatan sudah termasuk bahan bakar, bahan habis dipakai dan operator</v>
          </cell>
        </row>
        <row r="715">
          <cell r="A715">
            <v>4</v>
          </cell>
          <cell r="B715" t="str">
            <v>Biaya Satuan sudah termasuk pengeluaran untuk seluruh pajak yang berkaitan (tetapi tidak termasuk PPN yang dibayar dari kontrak) dan biaya-biaya lainnya</v>
          </cell>
        </row>
        <row r="717">
          <cell r="A717">
            <v>5</v>
          </cell>
          <cell r="B717" t="str">
            <v>Biaya satuan sudah termasuk biaya quality control</v>
          </cell>
        </row>
        <row r="722">
          <cell r="E722" t="str">
            <v>Takengon, 16 Juli 2003</v>
          </cell>
        </row>
        <row r="723">
          <cell r="E723" t="str">
            <v>CV. TRIPA KARYA</v>
          </cell>
        </row>
        <row r="729">
          <cell r="E729" t="str">
            <v>NYAK MUDDIN PUTEH</v>
          </cell>
        </row>
        <row r="730">
          <cell r="E730" t="str">
            <v>Direktur</v>
          </cell>
        </row>
        <row r="733">
          <cell r="A733" t="str">
            <v>ANALISA HARGA SATUAN MATA PEMBAYARAN</v>
          </cell>
        </row>
        <row r="735">
          <cell r="A735" t="str">
            <v>Nama Penawar</v>
          </cell>
          <cell r="C735" t="str">
            <v>:</v>
          </cell>
          <cell r="D735" t="str">
            <v>CV. TAKABEYA PERKASA</v>
          </cell>
        </row>
        <row r="736">
          <cell r="A736" t="str">
            <v>Paket</v>
          </cell>
          <cell r="C736" t="str">
            <v>:</v>
          </cell>
          <cell r="D736" t="str">
            <v xml:space="preserve">Pemeliharaan Berkala Jalan Geudong - Makam Malikussaleh - Mancang </v>
          </cell>
        </row>
        <row r="737">
          <cell r="A737" t="str">
            <v>No. Paket</v>
          </cell>
          <cell r="C737" t="str">
            <v>:</v>
          </cell>
          <cell r="D737" t="str">
            <v>P.039</v>
          </cell>
        </row>
        <row r="738">
          <cell r="A738" t="str">
            <v>Provinsi</v>
          </cell>
          <cell r="C738" t="str">
            <v>:</v>
          </cell>
          <cell r="D738" t="str">
            <v>Nanggroe Aceh Darussalam</v>
          </cell>
        </row>
        <row r="739">
          <cell r="A739" t="str">
            <v>No. Item Pembayaran</v>
          </cell>
          <cell r="C739" t="str">
            <v>:</v>
          </cell>
          <cell r="D739" t="str">
            <v>6.3 ( 5 )a</v>
          </cell>
        </row>
        <row r="740">
          <cell r="A740" t="str">
            <v>Jenis Pekerjaan</v>
          </cell>
          <cell r="C740" t="str">
            <v>:</v>
          </cell>
          <cell r="D740" t="str">
            <v>Asphalt Treated Base Leveling ( ATBL )</v>
          </cell>
        </row>
        <row r="741">
          <cell r="A741" t="str">
            <v>Satuan Pembayaran</v>
          </cell>
          <cell r="C741" t="str">
            <v>:</v>
          </cell>
          <cell r="D741" t="str">
            <v>TON</v>
          </cell>
        </row>
        <row r="744">
          <cell r="A744" t="str">
            <v>NO.</v>
          </cell>
          <cell r="B744" t="str">
            <v>KOMPONEN</v>
          </cell>
          <cell r="D744" t="str">
            <v>SATUAN</v>
          </cell>
          <cell r="E744" t="str">
            <v>PERKIRAAN</v>
          </cell>
          <cell r="F744" t="str">
            <v>BIAYA SATUAN</v>
          </cell>
          <cell r="G744" t="str">
            <v>JUMLAH HARGA</v>
          </cell>
        </row>
        <row r="745">
          <cell r="E745" t="str">
            <v>KUANTITAS</v>
          </cell>
          <cell r="F745" t="str">
            <v>(Rp)</v>
          </cell>
          <cell r="G745" t="str">
            <v>(Rp)</v>
          </cell>
        </row>
        <row r="746">
          <cell r="A746" t="str">
            <v>A</v>
          </cell>
          <cell r="B746" t="str">
            <v>TENAGA KERJA</v>
          </cell>
        </row>
        <row r="748">
          <cell r="A748" t="str">
            <v>1.</v>
          </cell>
          <cell r="B748" t="str">
            <v>Pekerja</v>
          </cell>
          <cell r="D748" t="str">
            <v>Jam</v>
          </cell>
          <cell r="E748">
            <v>0.16929999999999998</v>
          </cell>
          <cell r="F748">
            <v>2800</v>
          </cell>
          <cell r="G748">
            <v>474.03999999999996</v>
          </cell>
        </row>
        <row r="749">
          <cell r="A749" t="str">
            <v>2.</v>
          </cell>
          <cell r="B749" t="str">
            <v>Mandor</v>
          </cell>
          <cell r="D749" t="str">
            <v>Jam</v>
          </cell>
          <cell r="E749">
            <v>2.47E-2</v>
          </cell>
          <cell r="F749">
            <v>3600</v>
          </cell>
          <cell r="G749">
            <v>88.92</v>
          </cell>
        </row>
        <row r="752">
          <cell r="A752" t="str">
            <v>Jumlah Harga Tenaga Kerja</v>
          </cell>
          <cell r="G752">
            <v>562.95999999999992</v>
          </cell>
        </row>
        <row r="753">
          <cell r="A753" t="str">
            <v>B</v>
          </cell>
          <cell r="B753" t="str">
            <v xml:space="preserve">BAHAN </v>
          </cell>
        </row>
        <row r="755">
          <cell r="A755" t="str">
            <v>1.</v>
          </cell>
          <cell r="B755" t="str">
            <v>Agregate Kasar</v>
          </cell>
          <cell r="D755" t="str">
            <v>M3</v>
          </cell>
          <cell r="E755">
            <v>0.30559999999999998</v>
          </cell>
          <cell r="F755">
            <v>49000</v>
          </cell>
          <cell r="G755">
            <v>14974.4</v>
          </cell>
        </row>
        <row r="756">
          <cell r="A756" t="str">
            <v>2.</v>
          </cell>
          <cell r="B756" t="str">
            <v>Agregate Halus</v>
          </cell>
          <cell r="D756" t="str">
            <v>M3</v>
          </cell>
          <cell r="E756">
            <v>0.23069999999999999</v>
          </cell>
          <cell r="F756">
            <v>55000</v>
          </cell>
          <cell r="G756">
            <v>12688.5</v>
          </cell>
        </row>
        <row r="757">
          <cell r="A757" t="str">
            <v>3.</v>
          </cell>
          <cell r="B757" t="str">
            <v>Filler</v>
          </cell>
          <cell r="D757" t="str">
            <v>Kg</v>
          </cell>
          <cell r="E757">
            <v>63.25</v>
          </cell>
          <cell r="F757">
            <v>400</v>
          </cell>
          <cell r="G757">
            <v>25300</v>
          </cell>
        </row>
        <row r="758">
          <cell r="A758" t="str">
            <v>4.</v>
          </cell>
          <cell r="B758" t="str">
            <v>Aspal</v>
          </cell>
          <cell r="D758" t="str">
            <v>Kg</v>
          </cell>
          <cell r="E758">
            <v>68.25</v>
          </cell>
          <cell r="F758">
            <v>4000</v>
          </cell>
          <cell r="G758">
            <v>273000</v>
          </cell>
        </row>
        <row r="761">
          <cell r="A761" t="str">
            <v>Jumlah Harga Bahan</v>
          </cell>
          <cell r="G761">
            <v>325962.90000000002</v>
          </cell>
        </row>
        <row r="762">
          <cell r="A762" t="str">
            <v>C</v>
          </cell>
          <cell r="B762" t="str">
            <v>PERALATAN</v>
          </cell>
        </row>
        <row r="764">
          <cell r="A764" t="str">
            <v>1.</v>
          </cell>
          <cell r="B764" t="str">
            <v>Whell Loader</v>
          </cell>
          <cell r="D764" t="str">
            <v>Jam</v>
          </cell>
          <cell r="E764">
            <v>1.7000000000000001E-2</v>
          </cell>
          <cell r="F764">
            <v>148000</v>
          </cell>
          <cell r="G764">
            <v>2516</v>
          </cell>
        </row>
        <row r="765">
          <cell r="A765" t="str">
            <v>2.</v>
          </cell>
          <cell r="B765" t="str">
            <v>AMP</v>
          </cell>
          <cell r="D765" t="str">
            <v>Jam</v>
          </cell>
          <cell r="E765">
            <v>2.4799999999999999E-2</v>
          </cell>
          <cell r="F765">
            <v>1295000</v>
          </cell>
          <cell r="G765">
            <v>32116</v>
          </cell>
        </row>
        <row r="766">
          <cell r="A766" t="str">
            <v>3.</v>
          </cell>
          <cell r="B766" t="str">
            <v>Generator Set</v>
          </cell>
          <cell r="D766" t="str">
            <v>Jam</v>
          </cell>
          <cell r="E766">
            <v>2.4799999999999999E-2</v>
          </cell>
          <cell r="F766">
            <v>82000</v>
          </cell>
          <cell r="G766">
            <v>2033.6</v>
          </cell>
        </row>
        <row r="767">
          <cell r="A767" t="str">
            <v>4.</v>
          </cell>
          <cell r="B767" t="str">
            <v>Damp Truck</v>
          </cell>
          <cell r="D767" t="str">
            <v>Jam</v>
          </cell>
          <cell r="E767">
            <v>0.55060000000000009</v>
          </cell>
          <cell r="F767">
            <v>75000</v>
          </cell>
          <cell r="G767">
            <v>41295.000000000007</v>
          </cell>
        </row>
        <row r="768">
          <cell r="A768" t="str">
            <v>5.</v>
          </cell>
          <cell r="B768" t="str">
            <v>Asphalt Finisher</v>
          </cell>
          <cell r="D768" t="str">
            <v>Jam</v>
          </cell>
          <cell r="E768">
            <v>3.0699999999999998E-2</v>
          </cell>
          <cell r="F768">
            <v>75000</v>
          </cell>
          <cell r="G768">
            <v>2302.5</v>
          </cell>
        </row>
        <row r="769">
          <cell r="A769" t="str">
            <v>6.</v>
          </cell>
          <cell r="B769" t="str">
            <v>Tandem Roller</v>
          </cell>
          <cell r="D769" t="str">
            <v>Jam</v>
          </cell>
          <cell r="E769">
            <v>2.5000000000000001E-2</v>
          </cell>
          <cell r="F769">
            <v>76000</v>
          </cell>
          <cell r="G769">
            <v>1900</v>
          </cell>
        </row>
        <row r="770">
          <cell r="A770" t="str">
            <v>7.</v>
          </cell>
          <cell r="B770" t="str">
            <v>Peunematic Tyre Roller</v>
          </cell>
          <cell r="D770" t="str">
            <v>Jam</v>
          </cell>
          <cell r="E770">
            <v>1.9199999999999998E-2</v>
          </cell>
          <cell r="F770">
            <v>98000</v>
          </cell>
          <cell r="G770">
            <v>1881.6</v>
          </cell>
        </row>
        <row r="771">
          <cell r="A771" t="str">
            <v>8.</v>
          </cell>
          <cell r="B771" t="str">
            <v>Alat Bantu</v>
          </cell>
          <cell r="D771" t="str">
            <v>Ls</v>
          </cell>
          <cell r="E771">
            <v>1</v>
          </cell>
          <cell r="F771">
            <v>800</v>
          </cell>
          <cell r="G771">
            <v>800</v>
          </cell>
        </row>
        <row r="773">
          <cell r="A773" t="str">
            <v>Jumlah Harga Peralatan</v>
          </cell>
          <cell r="G773">
            <v>84844.700000000012</v>
          </cell>
        </row>
        <row r="775">
          <cell r="A775" t="str">
            <v>D</v>
          </cell>
          <cell r="B775" t="str">
            <v>JUMLAH ( A + B + C )</v>
          </cell>
          <cell r="G775">
            <v>411370.56000000006</v>
          </cell>
        </row>
        <row r="776">
          <cell r="A776" t="str">
            <v>E</v>
          </cell>
          <cell r="B776" t="str">
            <v>KEUNTUNGAN  10,0 % X D</v>
          </cell>
          <cell r="G776">
            <v>41137.056000000011</v>
          </cell>
        </row>
        <row r="777">
          <cell r="A777" t="str">
            <v>F</v>
          </cell>
          <cell r="B777" t="str">
            <v>HARGA SATUAN PEKERJAAN  ( D + E )</v>
          </cell>
          <cell r="G777">
            <v>452507.61600000004</v>
          </cell>
        </row>
        <row r="778">
          <cell r="A778" t="str">
            <v>G</v>
          </cell>
          <cell r="B778" t="str">
            <v>DIBULATKAN</v>
          </cell>
          <cell r="G778">
            <v>452508</v>
          </cell>
        </row>
        <row r="780">
          <cell r="A780" t="str">
            <v>Note :     1</v>
          </cell>
          <cell r="B780" t="str">
            <v>Satuan dapat berdasarkan atas jam operasi untuk tenaga kerja dan peralatan, volume dan / atau ukuran berat untuk bahan-bahan</v>
          </cell>
        </row>
        <row r="782">
          <cell r="A782">
            <v>2</v>
          </cell>
          <cell r="B782" t="str">
            <v>Kuantitas Satuan adalah kuantitas setiap komponen untuk menyelesaikan satu satuan pekerjaan dari nomor mata pembayaran</v>
          </cell>
        </row>
        <row r="784">
          <cell r="A784">
            <v>3</v>
          </cell>
          <cell r="B784" t="str">
            <v>Biaya Satuan Untuk Peralatan sudah termasuk bahan bakar, bahan habis dipakai dan operator</v>
          </cell>
        </row>
        <row r="785">
          <cell r="A785">
            <v>4</v>
          </cell>
          <cell r="B785" t="str">
            <v>Biaya Satuan sudah termasuk pengeluaran untuk seluruh pajak yang berkaitan (tetapi tidak termasuk PPN yang dibayar dari kontrak) dan biaya-biaya lainnya</v>
          </cell>
        </row>
        <row r="787">
          <cell r="A787">
            <v>5</v>
          </cell>
          <cell r="B787" t="str">
            <v>Biaya satuan sudah termasuk biaya quality control</v>
          </cell>
        </row>
        <row r="792">
          <cell r="E792" t="str">
            <v>Takengon, 16 Juli 2003</v>
          </cell>
        </row>
        <row r="793">
          <cell r="E793" t="str">
            <v>CV. TRIPA KARYA</v>
          </cell>
        </row>
        <row r="799">
          <cell r="E799" t="str">
            <v>NYAK MUDDIN PUTEH</v>
          </cell>
        </row>
        <row r="800">
          <cell r="E800" t="str">
            <v>Direktur</v>
          </cell>
        </row>
        <row r="802">
          <cell r="A802" t="str">
            <v>ANALISA HARGA SATUAN MATA PEMBAYARAN</v>
          </cell>
        </row>
        <row r="805">
          <cell r="A805" t="str">
            <v>Nama Penawar</v>
          </cell>
          <cell r="C805" t="str">
            <v>:</v>
          </cell>
          <cell r="D805" t="str">
            <v>CV. TAKABEYA PERKASA</v>
          </cell>
        </row>
        <row r="806">
          <cell r="A806" t="str">
            <v>Paket</v>
          </cell>
          <cell r="C806" t="str">
            <v>:</v>
          </cell>
          <cell r="D806" t="str">
            <v xml:space="preserve">Pemeliharaan Berkala Jalan Geudong - Makam Malikussaleh - Mancang </v>
          </cell>
        </row>
        <row r="807">
          <cell r="A807" t="str">
            <v>No. Paket</v>
          </cell>
          <cell r="C807" t="str">
            <v>:</v>
          </cell>
          <cell r="D807" t="str">
            <v>P.039</v>
          </cell>
        </row>
        <row r="808">
          <cell r="A808" t="str">
            <v>Provinsi</v>
          </cell>
          <cell r="C808" t="str">
            <v>:</v>
          </cell>
          <cell r="D808" t="str">
            <v>Nanggroe Aceh Darussalam</v>
          </cell>
        </row>
        <row r="809">
          <cell r="A809" t="str">
            <v>No. Item Pembayaran</v>
          </cell>
          <cell r="C809" t="str">
            <v>:</v>
          </cell>
          <cell r="D809" t="str">
            <v>7.9</v>
          </cell>
        </row>
        <row r="810">
          <cell r="A810" t="str">
            <v>Jenis Pekerjaan</v>
          </cell>
          <cell r="C810" t="str">
            <v>:</v>
          </cell>
          <cell r="D810" t="str">
            <v>Pasangan Batu + Adukan (Mekanik)</v>
          </cell>
        </row>
        <row r="811">
          <cell r="A811" t="str">
            <v>Satuan Pembayaran</v>
          </cell>
          <cell r="C811" t="str">
            <v>:</v>
          </cell>
          <cell r="D811" t="str">
            <v>M3</v>
          </cell>
        </row>
        <row r="815">
          <cell r="A815" t="str">
            <v>NO.</v>
          </cell>
          <cell r="B815" t="str">
            <v>KOMPONEN</v>
          </cell>
          <cell r="D815" t="str">
            <v>SATUAN</v>
          </cell>
          <cell r="E815" t="str">
            <v>PERKIRAAN</v>
          </cell>
          <cell r="F815" t="str">
            <v>HARGA SATUAN</v>
          </cell>
          <cell r="G815" t="str">
            <v>JUMLAH HARGA</v>
          </cell>
        </row>
        <row r="816">
          <cell r="E816" t="str">
            <v>KUANTITAS</v>
          </cell>
          <cell r="F816" t="str">
            <v>(Rp)</v>
          </cell>
          <cell r="G816" t="str">
            <v>(Rp)</v>
          </cell>
        </row>
        <row r="817">
          <cell r="A817" t="str">
            <v>A</v>
          </cell>
          <cell r="B817" t="str">
            <v>TENAGA KERJA</v>
          </cell>
        </row>
        <row r="819">
          <cell r="A819" t="str">
            <v>1.</v>
          </cell>
          <cell r="B819" t="str">
            <v>Pekerja</v>
          </cell>
          <cell r="D819" t="str">
            <v>Jam</v>
          </cell>
          <cell r="E819">
            <v>2.4011</v>
          </cell>
          <cell r="F819">
            <v>2800</v>
          </cell>
          <cell r="G819">
            <v>6723.08</v>
          </cell>
        </row>
        <row r="820">
          <cell r="A820" t="str">
            <v>2.</v>
          </cell>
          <cell r="B820" t="str">
            <v>Mandor</v>
          </cell>
          <cell r="D820" t="str">
            <v>Jam</v>
          </cell>
          <cell r="E820">
            <v>0.48059999999999997</v>
          </cell>
          <cell r="F820">
            <v>3600</v>
          </cell>
          <cell r="G820">
            <v>1730.1599999999999</v>
          </cell>
        </row>
        <row r="821">
          <cell r="A821" t="str">
            <v>3.</v>
          </cell>
          <cell r="B821" t="str">
            <v>Tukang</v>
          </cell>
          <cell r="D821" t="str">
            <v>Jam</v>
          </cell>
          <cell r="E821">
            <v>0.48</v>
          </cell>
          <cell r="F821">
            <v>4400</v>
          </cell>
          <cell r="G821">
            <v>2112</v>
          </cell>
        </row>
        <row r="823">
          <cell r="A823" t="str">
            <v>Jumlah Harga Tenaga Kerja</v>
          </cell>
          <cell r="G823">
            <v>10565.24</v>
          </cell>
        </row>
        <row r="824">
          <cell r="A824" t="str">
            <v>B</v>
          </cell>
          <cell r="B824" t="str">
            <v xml:space="preserve">BAHAN </v>
          </cell>
        </row>
        <row r="826">
          <cell r="A826" t="str">
            <v>1.</v>
          </cell>
          <cell r="B826" t="str">
            <v>Batu kali</v>
          </cell>
          <cell r="D826" t="str">
            <v>m3</v>
          </cell>
          <cell r="E826">
            <v>1.17</v>
          </cell>
          <cell r="F826">
            <v>89000</v>
          </cell>
          <cell r="G826">
            <v>104130</v>
          </cell>
        </row>
        <row r="827">
          <cell r="A827" t="str">
            <v>2.</v>
          </cell>
          <cell r="B827" t="str">
            <v>Semen PC</v>
          </cell>
          <cell r="D827" t="str">
            <v>Kg</v>
          </cell>
          <cell r="E827">
            <v>176</v>
          </cell>
          <cell r="F827">
            <v>612.5</v>
          </cell>
          <cell r="G827">
            <v>107800</v>
          </cell>
        </row>
        <row r="828">
          <cell r="A828" t="str">
            <v>3.</v>
          </cell>
          <cell r="B828" t="str">
            <v>Pasir Pasang</v>
          </cell>
          <cell r="D828" t="str">
            <v>m3</v>
          </cell>
          <cell r="E828">
            <v>0.39610000000000001</v>
          </cell>
          <cell r="F828">
            <v>68000</v>
          </cell>
          <cell r="G828">
            <v>26934.799999999999</v>
          </cell>
        </row>
        <row r="830">
          <cell r="A830" t="str">
            <v>Jumlah Harga Bahan</v>
          </cell>
          <cell r="G830">
            <v>238864.8</v>
          </cell>
        </row>
        <row r="831">
          <cell r="A831" t="str">
            <v>C</v>
          </cell>
          <cell r="B831" t="str">
            <v>PERALATAN</v>
          </cell>
        </row>
        <row r="833">
          <cell r="A833" t="str">
            <v>1.</v>
          </cell>
          <cell r="B833" t="str">
            <v>Concrette Mixer</v>
          </cell>
          <cell r="D833" t="str">
            <v>Jam</v>
          </cell>
          <cell r="E833">
            <v>0.48199999999999998</v>
          </cell>
          <cell r="F833">
            <v>22000</v>
          </cell>
          <cell r="G833">
            <v>10604</v>
          </cell>
        </row>
        <row r="834">
          <cell r="A834" t="str">
            <v>2.</v>
          </cell>
          <cell r="B834" t="str">
            <v>Water Tanker</v>
          </cell>
          <cell r="D834" t="str">
            <v>Jam</v>
          </cell>
          <cell r="E834">
            <v>0.56559999999999999</v>
          </cell>
          <cell r="F834">
            <v>70000</v>
          </cell>
          <cell r="G834">
            <v>39592</v>
          </cell>
        </row>
        <row r="835">
          <cell r="A835" t="str">
            <v>3.</v>
          </cell>
          <cell r="B835" t="str">
            <v>Alat Bantu</v>
          </cell>
          <cell r="D835" t="str">
            <v>Ls</v>
          </cell>
          <cell r="E835">
            <v>1</v>
          </cell>
          <cell r="F835">
            <v>900</v>
          </cell>
          <cell r="G835">
            <v>900</v>
          </cell>
        </row>
        <row r="837">
          <cell r="A837" t="str">
            <v>Jumlah Harga Peralatan</v>
          </cell>
          <cell r="G837">
            <v>51096</v>
          </cell>
        </row>
        <row r="839">
          <cell r="A839" t="str">
            <v>D</v>
          </cell>
          <cell r="B839" t="str">
            <v>JUMLAH ( A + B + C )</v>
          </cell>
          <cell r="G839">
            <v>300526.03999999998</v>
          </cell>
        </row>
        <row r="840">
          <cell r="A840" t="str">
            <v>E</v>
          </cell>
          <cell r="B840" t="str">
            <v>KEUNTUNGAN  10,0 % X D</v>
          </cell>
          <cell r="G840">
            <v>30052.603999999999</v>
          </cell>
        </row>
        <row r="841">
          <cell r="A841" t="str">
            <v>F</v>
          </cell>
          <cell r="B841" t="str">
            <v>HARGA SATUAN PEKERJAAN  ( D + E )</v>
          </cell>
          <cell r="G841">
            <v>330578.64399999997</v>
          </cell>
        </row>
        <row r="842">
          <cell r="A842" t="str">
            <v>G</v>
          </cell>
          <cell r="B842" t="str">
            <v>DIBULATKAN</v>
          </cell>
          <cell r="G842">
            <v>330579</v>
          </cell>
        </row>
        <row r="844">
          <cell r="A844" t="str">
            <v>Note :       1</v>
          </cell>
          <cell r="B844" t="str">
            <v>Satuan dapat berdasarkan atas jam operasi untuk tenaga kerja dan peralatan, volume dan / atau ukuran</v>
          </cell>
        </row>
        <row r="845">
          <cell r="B845" t="str">
            <v xml:space="preserve"> berat untuk bahan-bahan</v>
          </cell>
        </row>
        <row r="846">
          <cell r="A846">
            <v>2</v>
          </cell>
          <cell r="B846" t="str">
            <v>Kuantitas Satuan adalah kuantitas setiap komponen untuk menyelesaikan satu satuan pekerjaan dari nomor</v>
          </cell>
        </row>
        <row r="847">
          <cell r="B847" t="str">
            <v>mata pembayaran</v>
          </cell>
        </row>
        <row r="848">
          <cell r="A848">
            <v>3</v>
          </cell>
          <cell r="B848" t="str">
            <v>Biaya Satuan Untuk Peralatan sudah termasuk bahan bakar, bahan habis dipakai dan operator</v>
          </cell>
        </row>
        <row r="849">
          <cell r="A849">
            <v>4</v>
          </cell>
          <cell r="B849" t="str">
            <v>Biaya Satuan sudah termasuk pengeluaran untuk seluruh pajak yang berkaitan (tetapi tidak termasuk PPN</v>
          </cell>
        </row>
        <row r="850">
          <cell r="B850" t="str">
            <v>yang dibayar dari kontrak) dan biaya-biaya lainnya</v>
          </cell>
        </row>
        <row r="851">
          <cell r="A851">
            <v>5</v>
          </cell>
          <cell r="B851" t="str">
            <v>Biaya Satuan Sudah Termasuk Biaya Quality Control</v>
          </cell>
        </row>
        <row r="856">
          <cell r="E856" t="str">
            <v>Takengon, 16 Juli 2003</v>
          </cell>
        </row>
        <row r="857">
          <cell r="E857" t="str">
            <v>CV. TRIPA KARYA</v>
          </cell>
        </row>
        <row r="863">
          <cell r="E863" t="str">
            <v>NYAK MUDDIN PUTEH</v>
          </cell>
        </row>
        <row r="864">
          <cell r="E864" t="str">
            <v>Direktur</v>
          </cell>
        </row>
        <row r="866">
          <cell r="A866" t="str">
            <v>ANALISA HARGA SATUAN MATA PEMBAYARAN</v>
          </cell>
        </row>
        <row r="869">
          <cell r="A869" t="str">
            <v>Nama Penawar</v>
          </cell>
          <cell r="C869" t="str">
            <v>:</v>
          </cell>
          <cell r="D869" t="str">
            <v>CV. TAKABEYA PERKASA</v>
          </cell>
        </row>
        <row r="870">
          <cell r="A870" t="str">
            <v>Paket</v>
          </cell>
          <cell r="C870" t="str">
            <v>:</v>
          </cell>
          <cell r="D870" t="str">
            <v xml:space="preserve">Pemeliharaan Berkala Jalan Geudong - Makam Malikussaleh - Mancang </v>
          </cell>
        </row>
        <row r="871">
          <cell r="A871" t="str">
            <v>No. Paket</v>
          </cell>
          <cell r="C871" t="str">
            <v>:</v>
          </cell>
          <cell r="D871" t="str">
            <v>P.039</v>
          </cell>
        </row>
        <row r="872">
          <cell r="A872" t="str">
            <v>Provinsi</v>
          </cell>
          <cell r="C872" t="str">
            <v>:</v>
          </cell>
          <cell r="D872" t="str">
            <v>Nanggroe Aceh Darussalam</v>
          </cell>
        </row>
        <row r="873">
          <cell r="A873" t="str">
            <v>No. Item Pembayaran</v>
          </cell>
          <cell r="C873" t="str">
            <v>:</v>
          </cell>
          <cell r="D873" t="str">
            <v>8.1 ( 5 )</v>
          </cell>
        </row>
        <row r="874">
          <cell r="A874" t="str">
            <v>Jenis Pekerjaan</v>
          </cell>
          <cell r="C874" t="str">
            <v>:</v>
          </cell>
          <cell r="D874" t="str">
            <v>Campuran Aspal Panas Untuk Pekerjaan Minor</v>
          </cell>
        </row>
        <row r="875">
          <cell r="A875" t="str">
            <v>Satuan Pembayaran</v>
          </cell>
          <cell r="C875" t="str">
            <v>:</v>
          </cell>
          <cell r="D875" t="str">
            <v>M3</v>
          </cell>
        </row>
        <row r="878">
          <cell r="A878" t="str">
            <v>NO.</v>
          </cell>
          <cell r="B878" t="str">
            <v>KOMPONEN</v>
          </cell>
          <cell r="D878" t="str">
            <v>SATUAN</v>
          </cell>
          <cell r="E878" t="str">
            <v>PERKIRAAN</v>
          </cell>
          <cell r="F878" t="str">
            <v>BIAYA SATUAN</v>
          </cell>
          <cell r="G878" t="str">
            <v>JUMLAH HARGA</v>
          </cell>
        </row>
        <row r="879">
          <cell r="E879" t="str">
            <v>KUANTITAS</v>
          </cell>
          <cell r="F879" t="str">
            <v>(Rp)</v>
          </cell>
          <cell r="G879" t="str">
            <v>(Rp)</v>
          </cell>
        </row>
        <row r="880">
          <cell r="A880" t="str">
            <v>A</v>
          </cell>
          <cell r="B880" t="str">
            <v>TENAGA KERJA</v>
          </cell>
        </row>
        <row r="882">
          <cell r="A882" t="str">
            <v>1.</v>
          </cell>
          <cell r="B882" t="str">
            <v>Pekerja</v>
          </cell>
          <cell r="D882" t="str">
            <v>Jam</v>
          </cell>
          <cell r="E882">
            <v>0.38869999999999999</v>
          </cell>
          <cell r="F882">
            <v>2800</v>
          </cell>
          <cell r="G882">
            <v>1088.3599999999999</v>
          </cell>
        </row>
        <row r="883">
          <cell r="A883" t="str">
            <v>2.</v>
          </cell>
          <cell r="B883" t="str">
            <v>Mandor</v>
          </cell>
          <cell r="D883" t="str">
            <v>Jam</v>
          </cell>
          <cell r="E883">
            <v>5.6000000000000001E-2</v>
          </cell>
          <cell r="F883">
            <v>3600</v>
          </cell>
          <cell r="G883">
            <v>201.6</v>
          </cell>
        </row>
        <row r="886">
          <cell r="A886" t="str">
            <v>Jumlah Harga Tenaga Kerja</v>
          </cell>
          <cell r="G886">
            <v>1289.9599999999998</v>
          </cell>
        </row>
        <row r="887">
          <cell r="A887" t="str">
            <v>B</v>
          </cell>
          <cell r="B887" t="str">
            <v xml:space="preserve">BAHAN </v>
          </cell>
        </row>
        <row r="889">
          <cell r="A889" t="str">
            <v>1.</v>
          </cell>
          <cell r="B889" t="str">
            <v>Agregate Kasar</v>
          </cell>
          <cell r="D889" t="str">
            <v>M3</v>
          </cell>
          <cell r="E889">
            <v>0.61880000000000002</v>
          </cell>
          <cell r="F889">
            <v>49000</v>
          </cell>
          <cell r="G889">
            <v>30321.200000000001</v>
          </cell>
        </row>
        <row r="890">
          <cell r="A890" t="str">
            <v>2.</v>
          </cell>
          <cell r="B890" t="str">
            <v>Agregate Halus</v>
          </cell>
          <cell r="D890" t="str">
            <v>M3</v>
          </cell>
          <cell r="E890">
            <v>0.57750000000000001</v>
          </cell>
          <cell r="F890">
            <v>55000</v>
          </cell>
          <cell r="G890">
            <v>31762.5</v>
          </cell>
        </row>
        <row r="891">
          <cell r="A891" t="str">
            <v>3.</v>
          </cell>
          <cell r="B891" t="str">
            <v>Filler</v>
          </cell>
          <cell r="D891" t="str">
            <v>Kg</v>
          </cell>
          <cell r="E891">
            <v>148.5</v>
          </cell>
          <cell r="F891">
            <v>400</v>
          </cell>
          <cell r="G891">
            <v>59400</v>
          </cell>
        </row>
        <row r="892">
          <cell r="A892" t="str">
            <v>4.</v>
          </cell>
          <cell r="B892" t="str">
            <v>Aspal</v>
          </cell>
          <cell r="D892" t="str">
            <v>Kg</v>
          </cell>
          <cell r="E892">
            <v>165.375</v>
          </cell>
          <cell r="F892">
            <v>4000</v>
          </cell>
          <cell r="G892">
            <v>661500</v>
          </cell>
        </row>
        <row r="895">
          <cell r="A895" t="str">
            <v>Jumlah Harga Bahan</v>
          </cell>
          <cell r="G895">
            <v>782983.7</v>
          </cell>
        </row>
        <row r="896">
          <cell r="A896" t="str">
            <v>C</v>
          </cell>
          <cell r="B896" t="str">
            <v>PERALATAN</v>
          </cell>
        </row>
        <row r="898">
          <cell r="A898" t="str">
            <v>1.</v>
          </cell>
          <cell r="B898" t="str">
            <v>Whell Loader</v>
          </cell>
          <cell r="D898" t="str">
            <v>Jam</v>
          </cell>
          <cell r="E898">
            <v>3.5699999999999996E-2</v>
          </cell>
          <cell r="F898">
            <v>148000</v>
          </cell>
          <cell r="G898">
            <v>5283.5999999999995</v>
          </cell>
        </row>
        <row r="899">
          <cell r="A899" t="str">
            <v>2.</v>
          </cell>
          <cell r="B899" t="str">
            <v>AMP</v>
          </cell>
          <cell r="D899" t="str">
            <v>Jam</v>
          </cell>
          <cell r="E899">
            <v>5.3099999999999994E-2</v>
          </cell>
          <cell r="F899">
            <v>1295000</v>
          </cell>
          <cell r="G899">
            <v>68764.5</v>
          </cell>
        </row>
        <row r="900">
          <cell r="A900" t="str">
            <v>3.</v>
          </cell>
          <cell r="B900" t="str">
            <v>Generator Set</v>
          </cell>
          <cell r="D900" t="str">
            <v>Jam</v>
          </cell>
          <cell r="E900">
            <v>5.3099999999999994E-2</v>
          </cell>
          <cell r="F900">
            <v>82000</v>
          </cell>
          <cell r="G900">
            <v>4354.2</v>
          </cell>
        </row>
        <row r="901">
          <cell r="A901" t="str">
            <v>4.</v>
          </cell>
          <cell r="B901" t="str">
            <v>Damp Truck</v>
          </cell>
          <cell r="D901" t="str">
            <v>Jam</v>
          </cell>
          <cell r="E901">
            <v>1.2622</v>
          </cell>
          <cell r="F901">
            <v>75000</v>
          </cell>
          <cell r="G901">
            <v>94665</v>
          </cell>
        </row>
        <row r="902">
          <cell r="A902" t="str">
            <v>5.</v>
          </cell>
          <cell r="B902" t="str">
            <v>Asphalt Finisher</v>
          </cell>
          <cell r="D902" t="str">
            <v>Jam</v>
          </cell>
          <cell r="E902">
            <v>7.1199999999999999E-2</v>
          </cell>
          <cell r="F902">
            <v>75000</v>
          </cell>
          <cell r="G902">
            <v>5340</v>
          </cell>
        </row>
        <row r="903">
          <cell r="A903" t="str">
            <v>6.</v>
          </cell>
          <cell r="B903" t="str">
            <v>Tandem Roller</v>
          </cell>
          <cell r="D903" t="str">
            <v>Jam</v>
          </cell>
          <cell r="E903">
            <v>5.5099999999999996E-2</v>
          </cell>
          <cell r="F903">
            <v>76000</v>
          </cell>
          <cell r="G903">
            <v>4187.5999999999995</v>
          </cell>
        </row>
        <row r="904">
          <cell r="A904" t="str">
            <v>7.</v>
          </cell>
          <cell r="B904" t="str">
            <v>Peunematic Tyre Roller</v>
          </cell>
          <cell r="D904" t="str">
            <v>Jam</v>
          </cell>
          <cell r="E904">
            <v>2.9799999999999997E-2</v>
          </cell>
          <cell r="F904">
            <v>98000</v>
          </cell>
          <cell r="G904">
            <v>2920.3999999999996</v>
          </cell>
        </row>
        <row r="905">
          <cell r="A905" t="str">
            <v>8.</v>
          </cell>
          <cell r="B905" t="str">
            <v>Alat Bantu</v>
          </cell>
          <cell r="D905" t="str">
            <v>Ls</v>
          </cell>
          <cell r="E905">
            <v>1</v>
          </cell>
          <cell r="F905">
            <v>450</v>
          </cell>
          <cell r="G905">
            <v>450</v>
          </cell>
        </row>
        <row r="907">
          <cell r="A907" t="str">
            <v>Jumlah Harga Peralatan</v>
          </cell>
          <cell r="G907">
            <v>185965.3</v>
          </cell>
        </row>
        <row r="909">
          <cell r="A909" t="str">
            <v>D</v>
          </cell>
          <cell r="B909" t="str">
            <v>JUMLAH ( A + B + C )</v>
          </cell>
          <cell r="G909">
            <v>970238.96</v>
          </cell>
        </row>
        <row r="910">
          <cell r="A910" t="str">
            <v>E</v>
          </cell>
          <cell r="B910" t="str">
            <v>KEUNTUNGAN  10,0 % X D</v>
          </cell>
          <cell r="G910">
            <v>97023.896000000008</v>
          </cell>
        </row>
        <row r="911">
          <cell r="A911" t="str">
            <v>F</v>
          </cell>
          <cell r="B911" t="str">
            <v>HARGA SATUAN PEKERJAAN  ( D + E )</v>
          </cell>
          <cell r="G911">
            <v>1067262.8559999999</v>
          </cell>
        </row>
        <row r="912">
          <cell r="A912" t="str">
            <v>G</v>
          </cell>
          <cell r="B912" t="str">
            <v>DIBULATKAN</v>
          </cell>
          <cell r="G912">
            <v>1067263</v>
          </cell>
        </row>
        <row r="914">
          <cell r="A914" t="str">
            <v>Note :       1</v>
          </cell>
          <cell r="B914" t="str">
            <v>Satuan dapat berdasarkan atas jam operasi untuk tenaga kerja dan peralatan, volume dan / atau ukuran</v>
          </cell>
        </row>
        <row r="915">
          <cell r="B915" t="str">
            <v xml:space="preserve"> berat untuk bahan-bahan</v>
          </cell>
        </row>
        <row r="916">
          <cell r="A916">
            <v>2</v>
          </cell>
          <cell r="B916" t="str">
            <v>Kuantitas Satuan adalah kuantitas setiap komponen untuk menyelesaikan satu satuan pekerjaan dari nomor</v>
          </cell>
        </row>
        <row r="917">
          <cell r="B917" t="str">
            <v>mata pembayaran</v>
          </cell>
        </row>
        <row r="918">
          <cell r="A918">
            <v>3</v>
          </cell>
          <cell r="B918" t="str">
            <v>Biaya Satuan Untuk Peralatan sudah termasuk bahan bakar, bahan habis dipakai dan operator</v>
          </cell>
        </row>
        <row r="919">
          <cell r="A919">
            <v>4</v>
          </cell>
          <cell r="B919" t="str">
            <v>Biaya Satuan sudah termasuk pengeluaran untuk seluruh pajak yang berkaitan (tetapi tidak termasuk PPN</v>
          </cell>
        </row>
        <row r="920">
          <cell r="B920" t="str">
            <v>yang dibayar dari kontrak) dan biaya-biaya lainnya</v>
          </cell>
        </row>
        <row r="925">
          <cell r="E925" t="str">
            <v>Takengon, 16 Juli 2003</v>
          </cell>
        </row>
        <row r="926">
          <cell r="E926" t="str">
            <v>CV. TRIPA KARYA</v>
          </cell>
        </row>
        <row r="932">
          <cell r="E932" t="str">
            <v>NYAK MUDDIN PUTEH</v>
          </cell>
        </row>
        <row r="933">
          <cell r="E933" t="str">
            <v>Direktur</v>
          </cell>
        </row>
        <row r="936">
          <cell r="A936" t="str">
            <v>ANALISA HARGA SATUAN MATA PEMBAYARAN</v>
          </cell>
        </row>
        <row r="939">
          <cell r="A939" t="str">
            <v>Nama Penawar</v>
          </cell>
          <cell r="C939" t="str">
            <v>:</v>
          </cell>
          <cell r="D939" t="str">
            <v>CV. TAKABEYA PERKASA</v>
          </cell>
        </row>
        <row r="940">
          <cell r="A940" t="str">
            <v>Paket</v>
          </cell>
          <cell r="C940" t="str">
            <v>:</v>
          </cell>
          <cell r="D940" t="str">
            <v xml:space="preserve">Pemeliharaan Berkala Jalan Geudong - Makam Malikussaleh - Mancang </v>
          </cell>
        </row>
        <row r="941">
          <cell r="A941" t="str">
            <v>No. Paket</v>
          </cell>
          <cell r="C941" t="str">
            <v>:</v>
          </cell>
          <cell r="D941" t="str">
            <v>P.039</v>
          </cell>
        </row>
        <row r="942">
          <cell r="A942" t="str">
            <v>Provinsi</v>
          </cell>
          <cell r="C942" t="str">
            <v>:</v>
          </cell>
          <cell r="D942" t="str">
            <v>Nanggroe Aceh Darussalam</v>
          </cell>
        </row>
        <row r="943">
          <cell r="A943" t="str">
            <v>No. Item Pembayaran</v>
          </cell>
          <cell r="C943" t="str">
            <v>:</v>
          </cell>
          <cell r="D943" t="str">
            <v>8.1 ( 9 )</v>
          </cell>
        </row>
        <row r="944">
          <cell r="A944" t="str">
            <v>Jenis Pekerjaan</v>
          </cell>
          <cell r="C944" t="str">
            <v>:</v>
          </cell>
          <cell r="D944" t="str">
            <v>Bitumen Residual Untuk Pekerjaan Minor</v>
          </cell>
        </row>
        <row r="945">
          <cell r="A945" t="str">
            <v>Satuan Pembayaran</v>
          </cell>
          <cell r="C945" t="str">
            <v>:</v>
          </cell>
          <cell r="D945" t="str">
            <v>Liter</v>
          </cell>
        </row>
        <row r="948">
          <cell r="A948" t="str">
            <v>NO.</v>
          </cell>
          <cell r="B948" t="str">
            <v>KOMPONEN</v>
          </cell>
          <cell r="D948" t="str">
            <v>SATUAN</v>
          </cell>
          <cell r="E948" t="str">
            <v>PERKIRAAN</v>
          </cell>
          <cell r="F948" t="str">
            <v>BIAYA SATUAN</v>
          </cell>
          <cell r="G948" t="str">
            <v>JUMLAH HARGA</v>
          </cell>
        </row>
        <row r="949">
          <cell r="E949" t="str">
            <v>KUANTITAS</v>
          </cell>
          <cell r="F949" t="str">
            <v>(Rp)</v>
          </cell>
          <cell r="G949" t="str">
            <v>(Rp)</v>
          </cell>
        </row>
        <row r="950">
          <cell r="A950" t="str">
            <v>A</v>
          </cell>
          <cell r="B950" t="str">
            <v>TENAGA KERJA</v>
          </cell>
        </row>
        <row r="952">
          <cell r="A952" t="str">
            <v>1.</v>
          </cell>
          <cell r="B952" t="str">
            <v>Pekerja</v>
          </cell>
          <cell r="D952" t="str">
            <v>Jam</v>
          </cell>
          <cell r="E952">
            <v>1.78E-2</v>
          </cell>
          <cell r="F952">
            <v>2800</v>
          </cell>
          <cell r="G952">
            <v>49.839999999999996</v>
          </cell>
        </row>
        <row r="953">
          <cell r="A953" t="str">
            <v>2.</v>
          </cell>
          <cell r="B953" t="str">
            <v>Mandor</v>
          </cell>
          <cell r="D953" t="str">
            <v>Jam</v>
          </cell>
          <cell r="E953">
            <v>1.4E-3</v>
          </cell>
          <cell r="F953">
            <v>3600</v>
          </cell>
          <cell r="G953">
            <v>5.04</v>
          </cell>
        </row>
        <row r="956">
          <cell r="A956" t="str">
            <v>Jumlah Harga Tenaga Kerja</v>
          </cell>
          <cell r="G956">
            <v>54.879999999999995</v>
          </cell>
        </row>
        <row r="957">
          <cell r="A957" t="str">
            <v>B</v>
          </cell>
          <cell r="B957" t="str">
            <v xml:space="preserve">BAHAN </v>
          </cell>
        </row>
        <row r="959">
          <cell r="A959" t="str">
            <v>1.</v>
          </cell>
          <cell r="B959" t="str">
            <v>Aspal</v>
          </cell>
          <cell r="D959" t="str">
            <v>Kg</v>
          </cell>
          <cell r="E959">
            <v>0.64170000000000005</v>
          </cell>
          <cell r="F959">
            <v>4000</v>
          </cell>
          <cell r="G959">
            <v>2566.8000000000002</v>
          </cell>
        </row>
        <row r="960">
          <cell r="A960" t="str">
            <v>2.</v>
          </cell>
          <cell r="B960" t="str">
            <v>Korosene</v>
          </cell>
          <cell r="D960" t="str">
            <v>Liter</v>
          </cell>
          <cell r="E960">
            <v>0.4889</v>
          </cell>
          <cell r="F960">
            <v>1350</v>
          </cell>
          <cell r="G960">
            <v>660.01499999999999</v>
          </cell>
        </row>
        <row r="963">
          <cell r="A963" t="str">
            <v>Jumlah Harga Bahan</v>
          </cell>
          <cell r="G963">
            <v>3226.8150000000001</v>
          </cell>
        </row>
        <row r="964">
          <cell r="A964" t="str">
            <v>C</v>
          </cell>
          <cell r="B964" t="str">
            <v>PERALATAN</v>
          </cell>
        </row>
        <row r="966">
          <cell r="A966">
            <v>1</v>
          </cell>
          <cell r="B966" t="str">
            <v>Asphalt Sprayer</v>
          </cell>
          <cell r="D966" t="str">
            <v>Jam</v>
          </cell>
          <cell r="E966">
            <v>1.4E-3</v>
          </cell>
          <cell r="F966">
            <v>30000</v>
          </cell>
          <cell r="G966">
            <v>42</v>
          </cell>
        </row>
        <row r="967">
          <cell r="A967">
            <v>2</v>
          </cell>
          <cell r="B967" t="str">
            <v>Compressor</v>
          </cell>
          <cell r="D967" t="str">
            <v>Jam</v>
          </cell>
          <cell r="E967">
            <v>2.5999999999999999E-3</v>
          </cell>
          <cell r="F967">
            <v>43000</v>
          </cell>
          <cell r="G967">
            <v>111.8</v>
          </cell>
        </row>
        <row r="968">
          <cell r="A968">
            <v>3</v>
          </cell>
          <cell r="B968" t="str">
            <v>Damp Truck</v>
          </cell>
          <cell r="D968" t="str">
            <v>Jam</v>
          </cell>
          <cell r="E968">
            <v>1.4E-3</v>
          </cell>
          <cell r="F968">
            <v>75000</v>
          </cell>
          <cell r="G968">
            <v>105</v>
          </cell>
        </row>
        <row r="970">
          <cell r="A970" t="str">
            <v>Jumlah Harga Peralatan</v>
          </cell>
          <cell r="G970">
            <v>258.8</v>
          </cell>
        </row>
        <row r="972">
          <cell r="A972" t="str">
            <v>D</v>
          </cell>
          <cell r="B972" t="str">
            <v>JUMLAH ( A + B + C )</v>
          </cell>
          <cell r="G972">
            <v>3540.4950000000003</v>
          </cell>
        </row>
        <row r="973">
          <cell r="A973" t="str">
            <v>E</v>
          </cell>
          <cell r="B973" t="str">
            <v>KEUNTUNGAN  10,0 % X D</v>
          </cell>
          <cell r="G973">
            <v>354.04950000000008</v>
          </cell>
        </row>
        <row r="974">
          <cell r="A974" t="str">
            <v>F</v>
          </cell>
          <cell r="B974" t="str">
            <v>HARGA SATUAN PEKERJAAN  ( D + E )</v>
          </cell>
          <cell r="G974">
            <v>3894.5445000000004</v>
          </cell>
        </row>
        <row r="975">
          <cell r="A975" t="str">
            <v>G</v>
          </cell>
          <cell r="B975" t="str">
            <v>DIBULATKAN</v>
          </cell>
          <cell r="G975">
            <v>3895</v>
          </cell>
        </row>
        <row r="977">
          <cell r="A977" t="str">
            <v>Note :       1</v>
          </cell>
          <cell r="B977" t="str">
            <v>Satuan dapat berdasarkan atas jam operasi untuk tenaga kerja dan peralatan, volume dan / atau ukuran</v>
          </cell>
        </row>
        <row r="978">
          <cell r="B978" t="str">
            <v xml:space="preserve"> berat untuk bahan-bahan</v>
          </cell>
        </row>
        <row r="979">
          <cell r="A979">
            <v>2</v>
          </cell>
          <cell r="B979" t="str">
            <v>Kuantitas Satuan adalah kuantitas setiap komponen untuk menyelesaikan satu satuan pekerjaan dari nomor</v>
          </cell>
        </row>
        <row r="980">
          <cell r="B980" t="str">
            <v>mata pembayaran</v>
          </cell>
        </row>
        <row r="981">
          <cell r="A981">
            <v>3</v>
          </cell>
          <cell r="B981" t="str">
            <v>Biaya Satuan Untuk Peralatan sudah termasuk bahan bakar, bahan habis dipakai dan operator</v>
          </cell>
        </row>
        <row r="982">
          <cell r="A982">
            <v>4</v>
          </cell>
          <cell r="B982" t="str">
            <v>Biaya Satuan sudah termasuk pengeluaran untuk seluruh pajak yang berkaitan (tetapi tidak termasuk PPN</v>
          </cell>
        </row>
        <row r="983">
          <cell r="B983" t="str">
            <v>yang dibayar dari kontrak) dan biaya-biaya lainnya</v>
          </cell>
        </row>
        <row r="986">
          <cell r="E986" t="str">
            <v>Takengon, 16 Juli 2003</v>
          </cell>
        </row>
        <row r="987">
          <cell r="E987" t="str">
            <v>CV. TRIPA KARYA</v>
          </cell>
        </row>
        <row r="993">
          <cell r="E993" t="str">
            <v>NYAK MUDDIN PUTEH</v>
          </cell>
        </row>
        <row r="994">
          <cell r="E994" t="str">
            <v>Direktur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ap"/>
      <sheetName val="RAB P Jaga"/>
      <sheetName val="RAB Kantor"/>
      <sheetName val="RaB Gd Bbku"/>
      <sheetName val="RaB Gd BJadi"/>
      <sheetName val="RaB Pabrik"/>
      <sheetName val="RaB Bak Pnmpung"/>
      <sheetName val="RaB Inst Air"/>
      <sheetName val="RaB Genset"/>
      <sheetName val="RAB Bang Pnjang"/>
      <sheetName val="RAB Kantin"/>
      <sheetName val="RAB Musholla"/>
      <sheetName val="RAB PERSIAPAN+iNFRA"/>
      <sheetName val="HSBU ANA"/>
      <sheetName val="Upah"/>
      <sheetName val="ANA"/>
      <sheetName val="HARGA SATUAN"/>
      <sheetName val="Spek Bhn"/>
      <sheetName val="H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1">
          <cell r="D61">
            <v>12500</v>
          </cell>
        </row>
        <row r="136">
          <cell r="D136">
            <v>15000</v>
          </cell>
        </row>
        <row r="306">
          <cell r="D306">
            <v>28000</v>
          </cell>
        </row>
        <row r="309">
          <cell r="D309">
            <v>35000</v>
          </cell>
        </row>
        <row r="310">
          <cell r="D310">
            <v>40000</v>
          </cell>
        </row>
        <row r="321">
          <cell r="D321">
            <v>45000</v>
          </cell>
        </row>
      </sheetData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SAT"/>
      <sheetName val="ANALISA"/>
      <sheetName val="harsat_pek"/>
      <sheetName val="ANA_SANITARY"/>
      <sheetName val="struktur"/>
      <sheetName val="arsitektur"/>
      <sheetName val="lansekap"/>
      <sheetName val="rekapitulasi total"/>
      <sheetName val="sub rekapitulasi"/>
      <sheetName val="Schedule"/>
      <sheetName val="list_material"/>
      <sheetName val="resume"/>
      <sheetName val="kepada"/>
      <sheetName val="dash"/>
    </sheetNames>
    <sheetDataSet>
      <sheetData sheetId="0" refreshError="1"/>
      <sheetData sheetId="1" refreshError="1">
        <row r="14">
          <cell r="K14">
            <v>83880</v>
          </cell>
        </row>
        <row r="50">
          <cell r="K50">
            <v>15335510</v>
          </cell>
        </row>
        <row r="57">
          <cell r="K57">
            <v>350080</v>
          </cell>
        </row>
        <row r="88">
          <cell r="K88">
            <v>6120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000000"/>
      <sheetName val="Harsat Upah"/>
      <sheetName val="Harsat Bahan"/>
      <sheetName val="Harsat Pekerjaan"/>
      <sheetName val="Analisa"/>
      <sheetName val="Perhit Beton"/>
      <sheetName val="Perhitungan Besi"/>
      <sheetName val="DAFTAR BESI KANAL C SIKU"/>
      <sheetName val="DAFTAR  BESI IWF"/>
      <sheetName val="Pekerjaan  (2)"/>
      <sheetName val="bahan-semua daerah"/>
      <sheetName val="Upah-semua daerah"/>
    </sheetNames>
    <sheetDataSet>
      <sheetData sheetId="0"/>
      <sheetData sheetId="1"/>
      <sheetData sheetId="2" refreshError="1"/>
      <sheetData sheetId="3" refreshError="1">
        <row r="6">
          <cell r="A6" t="str">
            <v>KODE</v>
          </cell>
          <cell r="D6" t="str">
            <v>SAT</v>
          </cell>
          <cell r="E6" t="str">
            <v>HARGA SAT.</v>
          </cell>
        </row>
        <row r="7">
          <cell r="E7" t="str">
            <v>Rp.</v>
          </cell>
        </row>
        <row r="8">
          <cell r="B8" t="str">
            <v>1</v>
          </cell>
          <cell r="C8" t="str">
            <v>2</v>
          </cell>
          <cell r="D8" t="str">
            <v>3</v>
          </cell>
          <cell r="E8" t="str">
            <v>4</v>
          </cell>
        </row>
        <row r="10">
          <cell r="B10" t="str">
            <v>A</v>
          </cell>
          <cell r="C10" t="str">
            <v>AGREGAT KASAR, BAHAN PEREKAT &amp; BAHAN JADINYA</v>
          </cell>
        </row>
        <row r="11">
          <cell r="A11" t="str">
            <v>BA01</v>
          </cell>
          <cell r="B11" t="str">
            <v>1</v>
          </cell>
          <cell r="C11" t="str">
            <v>Pasir Urug</v>
          </cell>
          <cell r="D11" t="str">
            <v>m³</v>
          </cell>
          <cell r="E11">
            <v>33000</v>
          </cell>
        </row>
        <row r="12">
          <cell r="A12" t="str">
            <v>BA02</v>
          </cell>
          <cell r="B12" t="str">
            <v>2</v>
          </cell>
          <cell r="C12" t="str">
            <v>Sirtu</v>
          </cell>
          <cell r="D12" t="str">
            <v>m³</v>
          </cell>
          <cell r="E12">
            <v>37000</v>
          </cell>
        </row>
        <row r="13">
          <cell r="A13" t="str">
            <v>BA03</v>
          </cell>
          <cell r="B13" t="str">
            <v>3</v>
          </cell>
          <cell r="C13" t="str">
            <v>Pasir Teras</v>
          </cell>
          <cell r="D13" t="str">
            <v>m³</v>
          </cell>
          <cell r="E13">
            <v>41000</v>
          </cell>
        </row>
        <row r="14">
          <cell r="A14" t="str">
            <v>BA04</v>
          </cell>
          <cell r="B14" t="str">
            <v>4</v>
          </cell>
          <cell r="C14" t="str">
            <v>Pasir Pasang Kali</v>
          </cell>
          <cell r="D14" t="str">
            <v>m³</v>
          </cell>
          <cell r="E14">
            <v>45000</v>
          </cell>
        </row>
        <row r="15">
          <cell r="A15" t="str">
            <v>BA05</v>
          </cell>
          <cell r="B15" t="str">
            <v>5</v>
          </cell>
          <cell r="C15" t="str">
            <v>Pasir Beton I</v>
          </cell>
          <cell r="D15" t="str">
            <v>m³</v>
          </cell>
          <cell r="E15">
            <v>58000</v>
          </cell>
        </row>
        <row r="16">
          <cell r="A16" t="str">
            <v>BA06</v>
          </cell>
          <cell r="B16" t="str">
            <v>6</v>
          </cell>
          <cell r="C16" t="str">
            <v>Abu Batu</v>
          </cell>
          <cell r="D16" t="str">
            <v>m³</v>
          </cell>
          <cell r="E16">
            <v>42000</v>
          </cell>
        </row>
        <row r="17">
          <cell r="A17" t="str">
            <v>BA07</v>
          </cell>
          <cell r="B17" t="str">
            <v>7</v>
          </cell>
          <cell r="C17" t="str">
            <v>Batu Gosok ( Apung )</v>
          </cell>
          <cell r="D17" t="str">
            <v>kg</v>
          </cell>
          <cell r="E17">
            <v>7500</v>
          </cell>
        </row>
        <row r="18">
          <cell r="A18" t="str">
            <v>BA08</v>
          </cell>
          <cell r="B18" t="str">
            <v>8</v>
          </cell>
          <cell r="C18" t="str">
            <v>Batu Pecah Mesin  1/2</v>
          </cell>
          <cell r="D18" t="str">
            <v>m³</v>
          </cell>
          <cell r="E18">
            <v>65000</v>
          </cell>
        </row>
        <row r="19">
          <cell r="A19" t="str">
            <v>BA09</v>
          </cell>
          <cell r="B19" t="str">
            <v>9</v>
          </cell>
          <cell r="C19" t="str">
            <v>Batu Pecah Mesin  2/3</v>
          </cell>
          <cell r="D19" t="str">
            <v>m³</v>
          </cell>
          <cell r="E19">
            <v>60000</v>
          </cell>
        </row>
        <row r="20">
          <cell r="A20" t="str">
            <v>BA10</v>
          </cell>
          <cell r="B20" t="str">
            <v>10</v>
          </cell>
          <cell r="C20" t="str">
            <v>Batu Pecah Mesin  3/5</v>
          </cell>
          <cell r="D20" t="str">
            <v>m³</v>
          </cell>
          <cell r="E20">
            <v>55000</v>
          </cell>
        </row>
        <row r="21">
          <cell r="A21" t="str">
            <v>BA11</v>
          </cell>
          <cell r="B21" t="str">
            <v>11</v>
          </cell>
          <cell r="C21" t="str">
            <v>Batu Pecah Mesin  5/7</v>
          </cell>
          <cell r="D21" t="str">
            <v>m³</v>
          </cell>
          <cell r="E21">
            <v>50000</v>
          </cell>
        </row>
        <row r="22">
          <cell r="A22" t="str">
            <v>BA12</v>
          </cell>
          <cell r="B22" t="str">
            <v>12</v>
          </cell>
          <cell r="C22" t="str">
            <v>Batu Belah Pondasi</v>
          </cell>
          <cell r="D22" t="str">
            <v>m³</v>
          </cell>
          <cell r="E22">
            <v>45000</v>
          </cell>
        </row>
        <row r="23">
          <cell r="A23" t="str">
            <v>BA13</v>
          </cell>
          <cell r="B23" t="str">
            <v>13</v>
          </cell>
          <cell r="C23" t="str">
            <v>Batu Bronjol ( Untuk Bronjong )</v>
          </cell>
          <cell r="D23" t="str">
            <v>m³</v>
          </cell>
          <cell r="E23">
            <v>41000</v>
          </cell>
        </row>
        <row r="24">
          <cell r="A24" t="str">
            <v>BA14</v>
          </cell>
          <cell r="B24" t="str">
            <v>14</v>
          </cell>
          <cell r="C24" t="str">
            <v>Batu Koral Beton Kali</v>
          </cell>
          <cell r="D24" t="str">
            <v>m³</v>
          </cell>
          <cell r="E24">
            <v>50000</v>
          </cell>
        </row>
        <row r="25">
          <cell r="A25" t="str">
            <v>BA15</v>
          </cell>
          <cell r="B25" t="str">
            <v>15</v>
          </cell>
          <cell r="C25" t="str">
            <v xml:space="preserve">Batu Tempel Hitam </v>
          </cell>
          <cell r="D25" t="str">
            <v>m²</v>
          </cell>
          <cell r="E25">
            <v>11000</v>
          </cell>
        </row>
        <row r="26">
          <cell r="A26" t="str">
            <v>BA16</v>
          </cell>
          <cell r="B26" t="str">
            <v>16</v>
          </cell>
          <cell r="C26" t="str">
            <v>Batu Pinggir Beton 10 x 20 x 35</v>
          </cell>
          <cell r="D26" t="str">
            <v>bh</v>
          </cell>
          <cell r="E26">
            <v>58000</v>
          </cell>
        </row>
        <row r="27">
          <cell r="A27" t="str">
            <v>BA17</v>
          </cell>
          <cell r="B27" t="str">
            <v>17</v>
          </cell>
          <cell r="C27" t="str">
            <v>Batu Pinggir Beton 15 x 35 x 50 ( K -225 )</v>
          </cell>
          <cell r="D27" t="str">
            <v>bh</v>
          </cell>
          <cell r="E27">
            <v>13000</v>
          </cell>
        </row>
        <row r="28">
          <cell r="A28" t="str">
            <v>BA18</v>
          </cell>
          <cell r="B28" t="str">
            <v>18</v>
          </cell>
          <cell r="C28" t="str">
            <v>Batu Telor</v>
          </cell>
          <cell r="D28" t="str">
            <v>m³</v>
          </cell>
          <cell r="E28">
            <v>50000</v>
          </cell>
        </row>
        <row r="29">
          <cell r="A29" t="str">
            <v>BA19</v>
          </cell>
          <cell r="B29" t="str">
            <v>19</v>
          </cell>
          <cell r="C29" t="str">
            <v>Batako kecil 8 x 10 x 20</v>
          </cell>
          <cell r="D29" t="str">
            <v>bh</v>
          </cell>
          <cell r="E29">
            <v>500</v>
          </cell>
        </row>
        <row r="30">
          <cell r="A30" t="str">
            <v>BA20</v>
          </cell>
          <cell r="B30" t="str">
            <v>20</v>
          </cell>
          <cell r="C30" t="str">
            <v>Batako Besar 8 x 20 x 30</v>
          </cell>
          <cell r="D30" t="str">
            <v>bh</v>
          </cell>
          <cell r="E30">
            <v>1200</v>
          </cell>
        </row>
        <row r="31">
          <cell r="A31" t="str">
            <v>BA21</v>
          </cell>
          <cell r="B31" t="str">
            <v>21</v>
          </cell>
          <cell r="C31" t="str">
            <v>Con Blok 8 x 20 x 40</v>
          </cell>
          <cell r="D31" t="str">
            <v>bh</v>
          </cell>
          <cell r="E31">
            <v>2600</v>
          </cell>
        </row>
        <row r="32">
          <cell r="A32" t="str">
            <v>BA22</v>
          </cell>
          <cell r="B32" t="str">
            <v>22</v>
          </cell>
          <cell r="C32" t="str">
            <v>Bata Merah Bakar Kelas I</v>
          </cell>
          <cell r="D32" t="str">
            <v>bh</v>
          </cell>
          <cell r="E32">
            <v>220</v>
          </cell>
        </row>
        <row r="33">
          <cell r="A33" t="str">
            <v>BA23</v>
          </cell>
          <cell r="B33" t="str">
            <v>23</v>
          </cell>
          <cell r="C33" t="str">
            <v>Bata Merah Bakar Kelas II</v>
          </cell>
          <cell r="D33" t="str">
            <v>bh</v>
          </cell>
          <cell r="E33">
            <v>200</v>
          </cell>
        </row>
        <row r="34">
          <cell r="A34" t="str">
            <v>BA24</v>
          </cell>
          <cell r="B34" t="str">
            <v>24</v>
          </cell>
          <cell r="C34" t="str">
            <v>Bata Merah Oven ( Klingker )</v>
          </cell>
          <cell r="D34" t="str">
            <v>bh</v>
          </cell>
          <cell r="E34">
            <v>530</v>
          </cell>
        </row>
        <row r="35">
          <cell r="A35" t="str">
            <v>BA25</v>
          </cell>
          <cell r="B35" t="str">
            <v>25</v>
          </cell>
          <cell r="C35" t="str">
            <v>Roster Beton 20 x 20</v>
          </cell>
          <cell r="D35" t="str">
            <v>bh</v>
          </cell>
          <cell r="E35">
            <v>2250</v>
          </cell>
        </row>
        <row r="36">
          <cell r="A36" t="str">
            <v>BA26</v>
          </cell>
          <cell r="B36" t="str">
            <v>26</v>
          </cell>
          <cell r="C36" t="str">
            <v>Roster Beton 30 x 30</v>
          </cell>
          <cell r="D36" t="str">
            <v>bh</v>
          </cell>
          <cell r="E36">
            <v>3000</v>
          </cell>
        </row>
        <row r="37">
          <cell r="A37" t="str">
            <v>BA27</v>
          </cell>
          <cell r="B37" t="str">
            <v>27</v>
          </cell>
          <cell r="C37" t="str">
            <v>Grass Blok 20 x 20</v>
          </cell>
          <cell r="D37" t="str">
            <v>bh</v>
          </cell>
          <cell r="E37">
            <v>2250</v>
          </cell>
        </row>
        <row r="38">
          <cell r="A38" t="str">
            <v>BA28</v>
          </cell>
          <cell r="B38" t="str">
            <v>28</v>
          </cell>
          <cell r="C38" t="str">
            <v>Grass Blok 30 x 30</v>
          </cell>
          <cell r="D38" t="str">
            <v>bh</v>
          </cell>
          <cell r="E38">
            <v>3000</v>
          </cell>
        </row>
        <row r="39">
          <cell r="A39" t="str">
            <v>BA29</v>
          </cell>
          <cell r="B39" t="str">
            <v>29</v>
          </cell>
          <cell r="C39" t="str">
            <v>Paving Blok Natural 8 cm</v>
          </cell>
          <cell r="D39" t="str">
            <v>m²</v>
          </cell>
          <cell r="E39">
            <v>31000</v>
          </cell>
        </row>
        <row r="40">
          <cell r="A40" t="str">
            <v>BA30</v>
          </cell>
          <cell r="B40" t="str">
            <v>30</v>
          </cell>
          <cell r="C40" t="str">
            <v>Paving Blok Warna 8 cm</v>
          </cell>
          <cell r="D40" t="str">
            <v>m²</v>
          </cell>
          <cell r="E40">
            <v>37000</v>
          </cell>
        </row>
        <row r="41">
          <cell r="A41" t="str">
            <v>BA31</v>
          </cell>
          <cell r="B41" t="str">
            <v>31</v>
          </cell>
          <cell r="C41" t="str">
            <v>Paving Blok Natural 6 cm</v>
          </cell>
          <cell r="D41" t="str">
            <v>m²</v>
          </cell>
          <cell r="E41">
            <v>27000</v>
          </cell>
        </row>
        <row r="44">
          <cell r="A44" t="str">
            <v>BA32</v>
          </cell>
          <cell r="B44" t="str">
            <v>32</v>
          </cell>
          <cell r="C44" t="str">
            <v>Paving Blok Warna 6 cm</v>
          </cell>
          <cell r="D44" t="str">
            <v>m²</v>
          </cell>
          <cell r="E44">
            <v>31000</v>
          </cell>
        </row>
        <row r="45">
          <cell r="A45" t="str">
            <v>BA33</v>
          </cell>
          <cell r="B45" t="str">
            <v>33</v>
          </cell>
          <cell r="C45" t="str">
            <v>Kanstin Paving Blok</v>
          </cell>
          <cell r="D45" t="str">
            <v>m1</v>
          </cell>
          <cell r="E45">
            <v>10500</v>
          </cell>
        </row>
        <row r="46">
          <cell r="A46" t="str">
            <v>BA34</v>
          </cell>
          <cell r="B46" t="str">
            <v>34</v>
          </cell>
          <cell r="C46" t="str">
            <v>Semen PC Tiga Roda / 50 kg</v>
          </cell>
          <cell r="D46" t="str">
            <v>zak</v>
          </cell>
          <cell r="E46">
            <v>23500</v>
          </cell>
        </row>
        <row r="47">
          <cell r="A47" t="str">
            <v>BA35</v>
          </cell>
          <cell r="B47" t="str">
            <v>35</v>
          </cell>
          <cell r="C47" t="str">
            <v>Semen Putih</v>
          </cell>
          <cell r="D47" t="str">
            <v>zak</v>
          </cell>
          <cell r="E47">
            <v>42000</v>
          </cell>
        </row>
        <row r="48">
          <cell r="A48" t="str">
            <v>BA36</v>
          </cell>
          <cell r="B48" t="str">
            <v>36</v>
          </cell>
          <cell r="C48" t="str">
            <v>Kanstin Jalan ukuran Besar ( bina Marga ) 1 bh = 60 cm</v>
          </cell>
          <cell r="D48" t="str">
            <v>m³</v>
          </cell>
          <cell r="E48">
            <v>21000</v>
          </cell>
        </row>
        <row r="49">
          <cell r="A49" t="str">
            <v>BA37</v>
          </cell>
          <cell r="B49" t="str">
            <v>37</v>
          </cell>
          <cell r="C49" t="str">
            <v>Readymix Beton K 300, tanpa pompa ( selang )</v>
          </cell>
          <cell r="D49" t="str">
            <v>m³</v>
          </cell>
          <cell r="E49">
            <v>318000</v>
          </cell>
        </row>
        <row r="50">
          <cell r="A50" t="str">
            <v>BA38</v>
          </cell>
          <cell r="B50" t="str">
            <v>38</v>
          </cell>
          <cell r="C50" t="str">
            <v>Readymix Beton K 225, tanpa pompa ( selang )</v>
          </cell>
          <cell r="D50" t="str">
            <v>m³</v>
          </cell>
          <cell r="E50">
            <v>294000</v>
          </cell>
        </row>
        <row r="51">
          <cell r="A51" t="str">
            <v>BA39</v>
          </cell>
          <cell r="B51" t="str">
            <v>39</v>
          </cell>
          <cell r="C51" t="str">
            <v>Readymix Beton K 175, tanpa pompa ( selang )</v>
          </cell>
          <cell r="D51" t="str">
            <v>m³</v>
          </cell>
          <cell r="E51">
            <v>270000</v>
          </cell>
        </row>
        <row r="52">
          <cell r="A52" t="str">
            <v>BA40</v>
          </cell>
          <cell r="B52" t="str">
            <v>40</v>
          </cell>
          <cell r="C52" t="str">
            <v>Kapur Pasang/ kapur tembok</v>
          </cell>
          <cell r="D52" t="str">
            <v>m³</v>
          </cell>
          <cell r="E52">
            <v>62000</v>
          </cell>
        </row>
        <row r="53">
          <cell r="A53" t="str">
            <v>BA41</v>
          </cell>
          <cell r="B53" t="str">
            <v>41</v>
          </cell>
          <cell r="C53" t="str">
            <v>Kapur Sirih</v>
          </cell>
          <cell r="D53" t="str">
            <v>kg</v>
          </cell>
          <cell r="E53">
            <v>4200</v>
          </cell>
        </row>
        <row r="54">
          <cell r="A54" t="str">
            <v>BA42</v>
          </cell>
          <cell r="B54" t="str">
            <v>42</v>
          </cell>
          <cell r="C54" t="str">
            <v>Semen Warna</v>
          </cell>
          <cell r="D54" t="str">
            <v>kg</v>
          </cell>
          <cell r="E54">
            <v>3000</v>
          </cell>
        </row>
        <row r="55">
          <cell r="A55" t="str">
            <v>BA43</v>
          </cell>
          <cell r="B55">
            <v>43</v>
          </cell>
          <cell r="C55" t="str">
            <v>Tanah Liat</v>
          </cell>
          <cell r="D55" t="str">
            <v>m³</v>
          </cell>
          <cell r="E55">
            <v>10000</v>
          </cell>
        </row>
        <row r="57">
          <cell r="C57" t="str">
            <v xml:space="preserve">B. BAHAN FINISHING  : </v>
          </cell>
        </row>
        <row r="58">
          <cell r="C58" t="str">
            <v xml:space="preserve">     LABURAN, PENGISI DAN ALATNYA</v>
          </cell>
        </row>
        <row r="59">
          <cell r="A59" t="str">
            <v>BD01</v>
          </cell>
          <cell r="B59">
            <v>44</v>
          </cell>
          <cell r="C59" t="str">
            <v>Plamir Tembok</v>
          </cell>
          <cell r="D59" t="str">
            <v>kg</v>
          </cell>
          <cell r="E59">
            <v>3900</v>
          </cell>
        </row>
        <row r="60">
          <cell r="A60" t="str">
            <v>BD02</v>
          </cell>
          <cell r="B60">
            <v>45</v>
          </cell>
          <cell r="C60" t="str">
            <v>Cat Tembok ICI Eksterior ( BETON )</v>
          </cell>
          <cell r="D60" t="str">
            <v>lt</v>
          </cell>
          <cell r="E60">
            <v>47100</v>
          </cell>
        </row>
        <row r="61">
          <cell r="A61" t="str">
            <v>BD03</v>
          </cell>
          <cell r="B61">
            <v>46</v>
          </cell>
          <cell r="C61" t="str">
            <v>Cat Tembok ICI Interior ( PLAFOND DAN DINDING )</v>
          </cell>
          <cell r="D61" t="str">
            <v>lt</v>
          </cell>
          <cell r="E61">
            <v>47100</v>
          </cell>
        </row>
        <row r="62">
          <cell r="A62" t="str">
            <v>BD04</v>
          </cell>
          <cell r="B62">
            <v>47</v>
          </cell>
          <cell r="C62" t="str">
            <v>Cat Tembok Vinilex</v>
          </cell>
          <cell r="D62" t="str">
            <v>kg</v>
          </cell>
          <cell r="E62">
            <v>9900</v>
          </cell>
        </row>
        <row r="63">
          <cell r="A63" t="str">
            <v>BD05</v>
          </cell>
          <cell r="B63">
            <v>48</v>
          </cell>
          <cell r="C63" t="str">
            <v>Cat Dasar ICI untuk Interior ( 2 Pelapis ) Rp. 18.000 x 2</v>
          </cell>
          <cell r="D63" t="str">
            <v>lt</v>
          </cell>
          <cell r="E63">
            <v>43900</v>
          </cell>
        </row>
        <row r="64">
          <cell r="A64" t="str">
            <v>BD06</v>
          </cell>
          <cell r="B64">
            <v>49</v>
          </cell>
          <cell r="C64" t="str">
            <v>Cat Tembok Sanlex</v>
          </cell>
          <cell r="D64" t="str">
            <v>kg</v>
          </cell>
          <cell r="E64">
            <v>6800</v>
          </cell>
        </row>
        <row r="65">
          <cell r="A65" t="str">
            <v>BD07</v>
          </cell>
          <cell r="B65">
            <v>50</v>
          </cell>
          <cell r="C65" t="str">
            <v>Cat Tahan Asam</v>
          </cell>
          <cell r="D65" t="str">
            <v>kg</v>
          </cell>
          <cell r="E65">
            <v>15000</v>
          </cell>
        </row>
        <row r="66">
          <cell r="A66" t="str">
            <v>BD08</v>
          </cell>
          <cell r="B66">
            <v>51</v>
          </cell>
          <cell r="C66" t="str">
            <v>Pelapis Alkali ICI ( Cat Dasar Beton Ekterior )</v>
          </cell>
          <cell r="D66" t="str">
            <v>lt</v>
          </cell>
          <cell r="E66">
            <v>25700</v>
          </cell>
        </row>
        <row r="67">
          <cell r="A67" t="str">
            <v>BD09</v>
          </cell>
          <cell r="B67">
            <v>52</v>
          </cell>
          <cell r="C67" t="str">
            <v>Cat Marka / Spotlight</v>
          </cell>
          <cell r="D67" t="str">
            <v>kg</v>
          </cell>
          <cell r="E67">
            <v>47900</v>
          </cell>
        </row>
        <row r="68">
          <cell r="A68" t="str">
            <v>BD10</v>
          </cell>
          <cell r="B68">
            <v>53</v>
          </cell>
          <cell r="C68" t="str">
            <v>Water Profing Emulsion</v>
          </cell>
          <cell r="D68" t="str">
            <v>kg</v>
          </cell>
          <cell r="E68">
            <v>35000</v>
          </cell>
        </row>
        <row r="69">
          <cell r="A69" t="str">
            <v>BD11</v>
          </cell>
          <cell r="B69">
            <v>54</v>
          </cell>
          <cell r="C69" t="str">
            <v>Water Profing Membrance</v>
          </cell>
          <cell r="D69" t="str">
            <v>ml</v>
          </cell>
          <cell r="E69">
            <v>30000</v>
          </cell>
        </row>
        <row r="70">
          <cell r="A70" t="str">
            <v>BD12</v>
          </cell>
          <cell r="B70">
            <v>55</v>
          </cell>
          <cell r="C70" t="str">
            <v>Rool Cat Tembok</v>
          </cell>
          <cell r="D70" t="str">
            <v>bh</v>
          </cell>
          <cell r="E70">
            <v>15000</v>
          </cell>
        </row>
        <row r="71">
          <cell r="A71" t="str">
            <v>BD13</v>
          </cell>
          <cell r="B71">
            <v>56</v>
          </cell>
          <cell r="C71" t="str">
            <v>Kape Tembok</v>
          </cell>
          <cell r="D71" t="str">
            <v>bh</v>
          </cell>
          <cell r="E71">
            <v>3000</v>
          </cell>
        </row>
        <row r="72">
          <cell r="A72" t="str">
            <v>BD14</v>
          </cell>
          <cell r="B72">
            <v>57</v>
          </cell>
          <cell r="C72" t="str">
            <v>Kape Kayu</v>
          </cell>
          <cell r="D72" t="str">
            <v>bh</v>
          </cell>
          <cell r="E72">
            <v>3500</v>
          </cell>
        </row>
        <row r="73">
          <cell r="A73" t="str">
            <v>BD15</v>
          </cell>
          <cell r="B73">
            <v>58</v>
          </cell>
          <cell r="C73" t="str">
            <v>Soligneum 1 blek</v>
          </cell>
          <cell r="D73" t="str">
            <v>5 lt</v>
          </cell>
          <cell r="E73">
            <v>15000</v>
          </cell>
        </row>
        <row r="74">
          <cell r="A74" t="str">
            <v>BD16</v>
          </cell>
          <cell r="B74">
            <v>59</v>
          </cell>
          <cell r="C74" t="str">
            <v>Plincote</v>
          </cell>
          <cell r="D74" t="str">
            <v>kg</v>
          </cell>
          <cell r="E74">
            <v>15000</v>
          </cell>
        </row>
        <row r="75">
          <cell r="A75" t="str">
            <v>BD17</v>
          </cell>
          <cell r="B75">
            <v>60</v>
          </cell>
          <cell r="C75" t="str">
            <v>Pengawetan Kayu</v>
          </cell>
          <cell r="D75" t="str">
            <v>m³</v>
          </cell>
          <cell r="E75">
            <v>150000</v>
          </cell>
        </row>
        <row r="76">
          <cell r="A76" t="str">
            <v>BD18</v>
          </cell>
          <cell r="B76">
            <v>61</v>
          </cell>
          <cell r="C76" t="str">
            <v>Pengopenan Kayu</v>
          </cell>
          <cell r="D76" t="str">
            <v>m³</v>
          </cell>
          <cell r="E76">
            <v>200000</v>
          </cell>
        </row>
        <row r="77">
          <cell r="A77" t="str">
            <v>BD19</v>
          </cell>
          <cell r="B77">
            <v>62</v>
          </cell>
          <cell r="C77" t="str">
            <v>Kwas 3"</v>
          </cell>
          <cell r="D77" t="str">
            <v>bh</v>
          </cell>
          <cell r="E77">
            <v>6000</v>
          </cell>
        </row>
        <row r="78">
          <cell r="A78" t="str">
            <v>BD20</v>
          </cell>
          <cell r="B78">
            <v>63</v>
          </cell>
          <cell r="C78" t="str">
            <v>Oker</v>
          </cell>
          <cell r="D78" t="str">
            <v>kg</v>
          </cell>
          <cell r="E78">
            <v>12750</v>
          </cell>
        </row>
        <row r="79">
          <cell r="A79" t="str">
            <v>BD21</v>
          </cell>
          <cell r="B79">
            <v>64</v>
          </cell>
          <cell r="C79" t="str">
            <v>Oyan</v>
          </cell>
          <cell r="D79" t="str">
            <v>bks</v>
          </cell>
          <cell r="E79">
            <v>1000</v>
          </cell>
        </row>
        <row r="80">
          <cell r="A80" t="str">
            <v>BD22</v>
          </cell>
          <cell r="B80">
            <v>65</v>
          </cell>
          <cell r="C80" t="str">
            <v>Oten (Pewarna Plitur )</v>
          </cell>
          <cell r="D80" t="str">
            <v>bks</v>
          </cell>
          <cell r="E80">
            <v>1000</v>
          </cell>
        </row>
        <row r="81">
          <cell r="A81" t="str">
            <v>BD23</v>
          </cell>
          <cell r="B81">
            <v>66</v>
          </cell>
          <cell r="C81" t="str">
            <v>Spirtus</v>
          </cell>
          <cell r="D81" t="str">
            <v>lt</v>
          </cell>
          <cell r="E81">
            <v>6000</v>
          </cell>
        </row>
        <row r="82">
          <cell r="A82" t="str">
            <v>BD24</v>
          </cell>
          <cell r="B82">
            <v>67</v>
          </cell>
          <cell r="C82" t="str">
            <v>Bahan Plitur Kripik ( Sirlak India )</v>
          </cell>
          <cell r="D82" t="str">
            <v>kg</v>
          </cell>
          <cell r="E82">
            <v>46000</v>
          </cell>
        </row>
        <row r="85">
          <cell r="A85" t="str">
            <v>BD25</v>
          </cell>
          <cell r="B85">
            <v>68</v>
          </cell>
          <cell r="C85" t="str">
            <v>Dempul Lilin</v>
          </cell>
          <cell r="D85" t="str">
            <v>kg</v>
          </cell>
          <cell r="E85">
            <v>8100</v>
          </cell>
        </row>
        <row r="86">
          <cell r="A86" t="str">
            <v>BD26</v>
          </cell>
          <cell r="B86">
            <v>69</v>
          </cell>
          <cell r="C86" t="str">
            <v>Dempul Plitur</v>
          </cell>
          <cell r="D86" t="str">
            <v>kg</v>
          </cell>
          <cell r="E86">
            <v>11500</v>
          </cell>
        </row>
        <row r="87">
          <cell r="A87" t="str">
            <v>BD27</v>
          </cell>
          <cell r="B87">
            <v>70</v>
          </cell>
          <cell r="C87" t="str">
            <v>Dempul Halus / Imfra ( Wood Filler )</v>
          </cell>
          <cell r="D87" t="str">
            <v>kg</v>
          </cell>
          <cell r="E87">
            <v>17300</v>
          </cell>
        </row>
        <row r="88">
          <cell r="A88" t="str">
            <v>BD28</v>
          </cell>
          <cell r="B88">
            <v>71</v>
          </cell>
          <cell r="C88" t="str">
            <v>Terpentin</v>
          </cell>
          <cell r="D88" t="str">
            <v>lt</v>
          </cell>
          <cell r="E88">
            <v>1700</v>
          </cell>
        </row>
        <row r="89">
          <cell r="A89" t="str">
            <v>BD29</v>
          </cell>
          <cell r="B89">
            <v>72</v>
          </cell>
          <cell r="C89" t="str">
            <v>Tiner A</v>
          </cell>
          <cell r="D89" t="str">
            <v>lt</v>
          </cell>
          <cell r="E89">
            <v>7500</v>
          </cell>
        </row>
        <row r="90">
          <cell r="A90" t="str">
            <v>BD30</v>
          </cell>
          <cell r="B90">
            <v>73</v>
          </cell>
          <cell r="C90" t="str">
            <v>Tiner B</v>
          </cell>
          <cell r="D90" t="str">
            <v>lt</v>
          </cell>
          <cell r="E90">
            <v>11500</v>
          </cell>
        </row>
        <row r="91">
          <cell r="A91" t="str">
            <v>BD31</v>
          </cell>
          <cell r="B91">
            <v>74</v>
          </cell>
          <cell r="C91" t="str">
            <v>Kumpon</v>
          </cell>
          <cell r="D91" t="str">
            <v>kg</v>
          </cell>
          <cell r="E91">
            <v>11500</v>
          </cell>
        </row>
        <row r="92">
          <cell r="A92" t="str">
            <v>BD32</v>
          </cell>
          <cell r="B92">
            <v>75</v>
          </cell>
          <cell r="C92" t="str">
            <v>Melamik</v>
          </cell>
          <cell r="D92" t="str">
            <v>kg</v>
          </cell>
          <cell r="E92">
            <v>20100</v>
          </cell>
        </row>
        <row r="93">
          <cell r="A93" t="str">
            <v>BD33</v>
          </cell>
          <cell r="B93">
            <v>76</v>
          </cell>
          <cell r="C93" t="str">
            <v>Dempul Plastik</v>
          </cell>
          <cell r="D93" t="str">
            <v>kg</v>
          </cell>
          <cell r="E93">
            <v>14400</v>
          </cell>
        </row>
        <row r="94">
          <cell r="A94" t="str">
            <v>BD34</v>
          </cell>
          <cell r="B94">
            <v>77</v>
          </cell>
          <cell r="C94" t="str">
            <v>Dempul Duco</v>
          </cell>
          <cell r="D94" t="str">
            <v>kg</v>
          </cell>
          <cell r="E94">
            <v>17300</v>
          </cell>
        </row>
        <row r="95">
          <cell r="A95" t="str">
            <v>BD35</v>
          </cell>
          <cell r="B95">
            <v>78</v>
          </cell>
          <cell r="C95" t="str">
            <v>Ampelas</v>
          </cell>
          <cell r="D95" t="str">
            <v>lbr</v>
          </cell>
          <cell r="E95">
            <v>2300</v>
          </cell>
        </row>
        <row r="96">
          <cell r="A96" t="str">
            <v>BD36</v>
          </cell>
          <cell r="B96">
            <v>79</v>
          </cell>
          <cell r="C96" t="str">
            <v>Dempul Kayu Cap Kucing</v>
          </cell>
          <cell r="D96" t="str">
            <v>kg</v>
          </cell>
          <cell r="E96">
            <v>8600</v>
          </cell>
        </row>
        <row r="97">
          <cell r="A97" t="str">
            <v>BD37</v>
          </cell>
          <cell r="B97">
            <v>80</v>
          </cell>
          <cell r="C97" t="str">
            <v>Meni Kayu / Besi</v>
          </cell>
          <cell r="D97" t="str">
            <v>kg</v>
          </cell>
          <cell r="E97">
            <v>6900</v>
          </cell>
        </row>
        <row r="98">
          <cell r="A98" t="str">
            <v>BD38</v>
          </cell>
          <cell r="B98">
            <v>81</v>
          </cell>
          <cell r="C98" t="str">
            <v>Sincromat</v>
          </cell>
          <cell r="D98" t="str">
            <v>kg</v>
          </cell>
          <cell r="E98">
            <v>22000</v>
          </cell>
        </row>
        <row r="99">
          <cell r="A99" t="str">
            <v>BD39</v>
          </cell>
          <cell r="B99">
            <v>82</v>
          </cell>
          <cell r="C99" t="str">
            <v>Cat Kayu Sieve</v>
          </cell>
          <cell r="D99" t="str">
            <v>kg</v>
          </cell>
          <cell r="E99">
            <v>21000</v>
          </cell>
        </row>
        <row r="100">
          <cell r="A100" t="str">
            <v>BD40</v>
          </cell>
          <cell r="B100">
            <v>83</v>
          </cell>
          <cell r="C100" t="str">
            <v>Cat Besi Sieve</v>
          </cell>
          <cell r="D100" t="str">
            <v>kg</v>
          </cell>
          <cell r="E100">
            <v>21000</v>
          </cell>
        </row>
        <row r="101">
          <cell r="A101" t="str">
            <v>BD41</v>
          </cell>
          <cell r="B101">
            <v>84</v>
          </cell>
          <cell r="C101" t="str">
            <v>Cat Besi Duco Danaglos/ICI</v>
          </cell>
          <cell r="D101" t="str">
            <v>kg</v>
          </cell>
          <cell r="E101">
            <v>41000</v>
          </cell>
        </row>
        <row r="102">
          <cell r="A102" t="str">
            <v>BD42</v>
          </cell>
          <cell r="B102">
            <v>85</v>
          </cell>
          <cell r="C102" t="str">
            <v>Cat Bron</v>
          </cell>
          <cell r="D102" t="str">
            <v>kg</v>
          </cell>
          <cell r="E102">
            <v>25000</v>
          </cell>
        </row>
        <row r="104">
          <cell r="C104" t="str">
            <v>C. BAHAN KAYU BERIKUT BAHAN JADINYA</v>
          </cell>
        </row>
        <row r="105">
          <cell r="A105" t="str">
            <v>BF01</v>
          </cell>
          <cell r="B105">
            <v>86</v>
          </cell>
          <cell r="C105" t="str">
            <v>Bambu Ø 5 s.d 7</v>
          </cell>
          <cell r="D105" t="str">
            <v>bt</v>
          </cell>
          <cell r="E105">
            <v>10000</v>
          </cell>
        </row>
        <row r="106">
          <cell r="A106" t="str">
            <v>BF02</v>
          </cell>
          <cell r="B106">
            <v>87</v>
          </cell>
          <cell r="C106" t="str">
            <v>Bambu Ø 7 s.d 10</v>
          </cell>
          <cell r="D106" t="str">
            <v>bt</v>
          </cell>
          <cell r="E106">
            <v>15000</v>
          </cell>
        </row>
        <row r="107">
          <cell r="A107" t="str">
            <v>BF03</v>
          </cell>
          <cell r="B107">
            <v>88</v>
          </cell>
          <cell r="C107" t="str">
            <v>Bambu Gombong</v>
          </cell>
          <cell r="D107" t="str">
            <v>bt</v>
          </cell>
          <cell r="E107">
            <v>30000</v>
          </cell>
        </row>
        <row r="108">
          <cell r="A108" t="str">
            <v>BF04</v>
          </cell>
          <cell r="B108">
            <v>89</v>
          </cell>
          <cell r="C108" t="str">
            <v>Kayu Terentang</v>
          </cell>
          <cell r="D108" t="str">
            <v>m³</v>
          </cell>
          <cell r="E108">
            <v>750000</v>
          </cell>
        </row>
        <row r="109">
          <cell r="B109">
            <v>90</v>
          </cell>
          <cell r="C109" t="str">
            <v>Kayu Kamper Singkil / Kapur (K. Samarinda Klas III)</v>
          </cell>
          <cell r="D109" t="str">
            <v>m³</v>
          </cell>
          <cell r="E109">
            <v>2695000</v>
          </cell>
        </row>
        <row r="110">
          <cell r="A110" t="str">
            <v>BF05</v>
          </cell>
          <cell r="B110">
            <v>91</v>
          </cell>
          <cell r="C110" t="str">
            <v>Kayu Balok Borneo Super</v>
          </cell>
          <cell r="D110" t="str">
            <v>m³</v>
          </cell>
          <cell r="E110">
            <v>1375000</v>
          </cell>
        </row>
        <row r="111">
          <cell r="A111" t="str">
            <v>BF06</v>
          </cell>
          <cell r="B111">
            <v>91</v>
          </cell>
          <cell r="C111" t="str">
            <v>Kayu Papan Borneo Super</v>
          </cell>
          <cell r="D111" t="str">
            <v>m³</v>
          </cell>
          <cell r="E111">
            <v>1430000</v>
          </cell>
        </row>
        <row r="112">
          <cell r="A112" t="str">
            <v>BF07</v>
          </cell>
          <cell r="B112">
            <v>92</v>
          </cell>
          <cell r="C112" t="str">
            <v>Kayu Balok Kamper Medan (kruing)</v>
          </cell>
          <cell r="D112" t="str">
            <v>m³</v>
          </cell>
          <cell r="E112">
            <v>1980000</v>
          </cell>
        </row>
        <row r="113">
          <cell r="A113" t="str">
            <v>BF08</v>
          </cell>
          <cell r="B113">
            <v>93</v>
          </cell>
          <cell r="C113" t="str">
            <v>Kayu Papan Kamper Medan (Kruing)</v>
          </cell>
          <cell r="D113" t="str">
            <v>m³</v>
          </cell>
          <cell r="E113">
            <v>2090000</v>
          </cell>
        </row>
        <row r="114">
          <cell r="A114" t="str">
            <v>BF09</v>
          </cell>
          <cell r="B114">
            <v>94</v>
          </cell>
          <cell r="C114" t="str">
            <v>Kayu Balok Kamper Banjar</v>
          </cell>
          <cell r="D114" t="str">
            <v>m³</v>
          </cell>
          <cell r="E114">
            <v>2365000</v>
          </cell>
        </row>
        <row r="115">
          <cell r="A115" t="str">
            <v>BF10</v>
          </cell>
          <cell r="B115">
            <v>95</v>
          </cell>
          <cell r="C115" t="str">
            <v>Kayu Papan Kamper Banjar</v>
          </cell>
          <cell r="D115" t="str">
            <v>m³</v>
          </cell>
          <cell r="E115">
            <v>2475000</v>
          </cell>
        </row>
        <row r="116">
          <cell r="A116" t="str">
            <v>BF11</v>
          </cell>
          <cell r="B116">
            <v>96</v>
          </cell>
          <cell r="C116" t="str">
            <v>Kayu Balok Kamper Samarinda</v>
          </cell>
          <cell r="D116" t="str">
            <v>m³</v>
          </cell>
          <cell r="E116">
            <v>3795000</v>
          </cell>
        </row>
        <row r="117">
          <cell r="A117" t="str">
            <v>BF12</v>
          </cell>
          <cell r="B117">
            <v>97</v>
          </cell>
          <cell r="C117" t="str">
            <v>Kayu Papan Kamper Samarinda</v>
          </cell>
          <cell r="D117" t="str">
            <v>m³</v>
          </cell>
          <cell r="E117">
            <v>3905000</v>
          </cell>
        </row>
        <row r="118">
          <cell r="A118" t="str">
            <v>BF13</v>
          </cell>
          <cell r="B118">
            <v>98</v>
          </cell>
          <cell r="C118" t="str">
            <v>Kayu Balok Rasamala</v>
          </cell>
          <cell r="D118" t="str">
            <v>m³</v>
          </cell>
          <cell r="E118">
            <v>900000</v>
          </cell>
        </row>
        <row r="119">
          <cell r="A119" t="str">
            <v>BF14</v>
          </cell>
          <cell r="B119">
            <v>99</v>
          </cell>
          <cell r="C119" t="str">
            <v>Kayu Jati Jatim Tua Lepas Mata dari dia. 80 cm keatas</v>
          </cell>
          <cell r="D119" t="str">
            <v>m³</v>
          </cell>
          <cell r="E119">
            <v>19800000</v>
          </cell>
        </row>
        <row r="120">
          <cell r="A120" t="str">
            <v>BF15</v>
          </cell>
          <cell r="B120">
            <v>100</v>
          </cell>
          <cell r="C120" t="str">
            <v>Kayu Jati Jateng Tua Lepas Mata dari dia. 80 cm keatas</v>
          </cell>
          <cell r="D120" t="str">
            <v>m³</v>
          </cell>
          <cell r="E120">
            <v>13750000</v>
          </cell>
        </row>
        <row r="121">
          <cell r="A121" t="str">
            <v>BF16</v>
          </cell>
          <cell r="B121">
            <v>101</v>
          </cell>
          <cell r="C121" t="str">
            <v>Kayu Jati Jabar Tua Lepas Mata dari dia. 80 cm keatas</v>
          </cell>
          <cell r="D121" t="str">
            <v>m³</v>
          </cell>
          <cell r="E121">
            <v>7600000</v>
          </cell>
        </row>
        <row r="122">
          <cell r="A122" t="str">
            <v>BF17</v>
          </cell>
          <cell r="B122">
            <v>102</v>
          </cell>
          <cell r="C122" t="str">
            <v xml:space="preserve">Kayu Jati Jabar dia. 40 cm kebawah </v>
          </cell>
          <cell r="D122" t="str">
            <v>m³</v>
          </cell>
          <cell r="E122">
            <v>4100000</v>
          </cell>
        </row>
        <row r="123">
          <cell r="A123" t="str">
            <v>BF18</v>
          </cell>
          <cell r="B123">
            <v>103</v>
          </cell>
          <cell r="C123" t="str">
            <v xml:space="preserve">Kayu Hutan Kelas I ( Segeng, Mahoni, Laban ) </v>
          </cell>
          <cell r="D123" t="str">
            <v>m³</v>
          </cell>
          <cell r="E123">
            <v>950000</v>
          </cell>
        </row>
        <row r="124">
          <cell r="A124" t="str">
            <v>BF19</v>
          </cell>
          <cell r="B124">
            <v>104</v>
          </cell>
          <cell r="C124" t="str">
            <v>Kayu Albasia</v>
          </cell>
          <cell r="D124" t="str">
            <v>m³</v>
          </cell>
          <cell r="E124">
            <v>650000</v>
          </cell>
        </row>
        <row r="127">
          <cell r="A127" t="str">
            <v>BF20</v>
          </cell>
          <cell r="B127">
            <v>105</v>
          </cell>
          <cell r="C127" t="str">
            <v>Dolken 5 s/d 7</v>
          </cell>
          <cell r="D127" t="str">
            <v>bt</v>
          </cell>
          <cell r="E127">
            <v>9000</v>
          </cell>
        </row>
        <row r="128">
          <cell r="A128" t="str">
            <v>BF21</v>
          </cell>
          <cell r="B128">
            <v>106</v>
          </cell>
          <cell r="C128" t="str">
            <v>Dolken 7 s/d 10</v>
          </cell>
          <cell r="D128" t="str">
            <v>bt</v>
          </cell>
          <cell r="E128">
            <v>12000</v>
          </cell>
        </row>
        <row r="129">
          <cell r="A129" t="str">
            <v>BF22</v>
          </cell>
          <cell r="B129">
            <v>107</v>
          </cell>
          <cell r="C129" t="str">
            <v>List profil kamper 1 cm</v>
          </cell>
          <cell r="D129" t="str">
            <v>m1</v>
          </cell>
          <cell r="E129">
            <v>1000</v>
          </cell>
        </row>
        <row r="130">
          <cell r="A130" t="str">
            <v>BF23</v>
          </cell>
          <cell r="B130">
            <v>108</v>
          </cell>
          <cell r="C130" t="str">
            <v>List profil kamper 2 cm</v>
          </cell>
          <cell r="D130" t="str">
            <v>m1</v>
          </cell>
          <cell r="E130">
            <v>1750</v>
          </cell>
        </row>
        <row r="131">
          <cell r="A131" t="str">
            <v>BF24</v>
          </cell>
          <cell r="B131">
            <v>109</v>
          </cell>
          <cell r="C131" t="str">
            <v>List profil kamper 4 cm</v>
          </cell>
          <cell r="D131" t="str">
            <v>m1</v>
          </cell>
          <cell r="E131">
            <v>4000</v>
          </cell>
        </row>
        <row r="132">
          <cell r="A132" t="str">
            <v>BF25</v>
          </cell>
          <cell r="B132">
            <v>110</v>
          </cell>
          <cell r="C132" t="str">
            <v>List profil kamper 5 cm</v>
          </cell>
          <cell r="D132" t="str">
            <v>m1</v>
          </cell>
          <cell r="E132">
            <v>6500</v>
          </cell>
        </row>
        <row r="133">
          <cell r="A133" t="str">
            <v>BF26</v>
          </cell>
          <cell r="B133">
            <v>111</v>
          </cell>
          <cell r="C133" t="str">
            <v>List profil kamper 10 cm</v>
          </cell>
          <cell r="D133" t="str">
            <v>m1</v>
          </cell>
          <cell r="E133">
            <v>12500</v>
          </cell>
        </row>
        <row r="134">
          <cell r="A134" t="str">
            <v>BF27</v>
          </cell>
          <cell r="B134">
            <v>112</v>
          </cell>
          <cell r="C134" t="str">
            <v>Pegangan Tangga profil Jati</v>
          </cell>
          <cell r="D134" t="str">
            <v>m1</v>
          </cell>
          <cell r="E134">
            <v>69000</v>
          </cell>
        </row>
        <row r="135">
          <cell r="A135" t="str">
            <v>BF28</v>
          </cell>
          <cell r="B135">
            <v>113</v>
          </cell>
          <cell r="C135" t="str">
            <v>Pegangan Tangga profil Kamper</v>
          </cell>
          <cell r="D135" t="str">
            <v>m1</v>
          </cell>
          <cell r="E135">
            <v>20000</v>
          </cell>
        </row>
        <row r="136">
          <cell r="A136" t="str">
            <v>BF29</v>
          </cell>
          <cell r="B136">
            <v>114</v>
          </cell>
          <cell r="C136" t="str">
            <v>Kayu Reng 2/3 Borneo Super</v>
          </cell>
          <cell r="D136" t="str">
            <v>m1</v>
          </cell>
          <cell r="E136">
            <v>700</v>
          </cell>
        </row>
        <row r="137">
          <cell r="A137" t="str">
            <v>BF30</v>
          </cell>
          <cell r="B137">
            <v>115</v>
          </cell>
          <cell r="C137" t="str">
            <v>Kayu Reng 2/3 Kamper Banjar</v>
          </cell>
          <cell r="D137" t="str">
            <v>m1</v>
          </cell>
          <cell r="E137">
            <v>1200</v>
          </cell>
        </row>
        <row r="138">
          <cell r="A138" t="str">
            <v>BF31</v>
          </cell>
          <cell r="B138">
            <v>116</v>
          </cell>
          <cell r="C138" t="str">
            <v>Kayu Reng 3/4 Kamper Banjar</v>
          </cell>
          <cell r="D138" t="str">
            <v>m1</v>
          </cell>
          <cell r="E138">
            <v>1600</v>
          </cell>
        </row>
        <row r="140">
          <cell r="C140" t="str">
            <v>D. BAHAN PENUTUP RANGKA PLAFOND</v>
          </cell>
        </row>
        <row r="141">
          <cell r="A141" t="str">
            <v>BH01</v>
          </cell>
          <cell r="B141">
            <v>117</v>
          </cell>
          <cell r="C141" t="str">
            <v>Bahan plafond Enternit 4 mm</v>
          </cell>
          <cell r="D141" t="str">
            <v>m²</v>
          </cell>
          <cell r="E141">
            <v>4500</v>
          </cell>
        </row>
        <row r="142">
          <cell r="A142" t="str">
            <v>BH02</v>
          </cell>
          <cell r="B142">
            <v>118</v>
          </cell>
          <cell r="C142" t="str">
            <v>Bahan plafond hardpleks 5 mm 120 x 240</v>
          </cell>
          <cell r="D142" t="str">
            <v>lbr</v>
          </cell>
          <cell r="E142">
            <v>43500</v>
          </cell>
        </row>
        <row r="143">
          <cell r="A143" t="str">
            <v>BH03</v>
          </cell>
          <cell r="B143">
            <v>119</v>
          </cell>
          <cell r="C143" t="str">
            <v>Bahan plafond Asbes Semen 5 mm</v>
          </cell>
          <cell r="D143" t="str">
            <v>m²</v>
          </cell>
          <cell r="E143">
            <v>8500</v>
          </cell>
        </row>
        <row r="144">
          <cell r="A144" t="str">
            <v>BH04</v>
          </cell>
          <cell r="B144">
            <v>120</v>
          </cell>
          <cell r="C144" t="str">
            <v>Gypsum 120 x 240  t = 9 mm ex DN</v>
          </cell>
          <cell r="D144" t="str">
            <v>lbr</v>
          </cell>
          <cell r="E144">
            <v>33000</v>
          </cell>
        </row>
        <row r="145">
          <cell r="A145" t="str">
            <v>BH05</v>
          </cell>
          <cell r="B145">
            <v>121</v>
          </cell>
          <cell r="C145" t="str">
            <v>Gypsum 120 x 240  t = 9 mm ex Luar</v>
          </cell>
          <cell r="D145" t="str">
            <v>lbr</v>
          </cell>
          <cell r="E145">
            <v>42500</v>
          </cell>
        </row>
        <row r="146">
          <cell r="A146" t="str">
            <v>BH06</v>
          </cell>
          <cell r="B146">
            <v>122</v>
          </cell>
          <cell r="C146" t="str">
            <v xml:space="preserve">Acustik Amstrong 60 x 120 </v>
          </cell>
          <cell r="D146" t="str">
            <v>lbr</v>
          </cell>
          <cell r="E146">
            <v>63000</v>
          </cell>
        </row>
        <row r="148">
          <cell r="C148" t="str">
            <v>E. BAHAN KAYU LAPIS</v>
          </cell>
        </row>
        <row r="149">
          <cell r="A149" t="str">
            <v>BJ01</v>
          </cell>
          <cell r="B149">
            <v>123</v>
          </cell>
          <cell r="C149" t="str">
            <v>Triplek 3 mm 120 x 240</v>
          </cell>
          <cell r="D149" t="str">
            <v>lbr</v>
          </cell>
          <cell r="E149">
            <v>30200</v>
          </cell>
        </row>
        <row r="150">
          <cell r="A150" t="str">
            <v>BJ02</v>
          </cell>
          <cell r="B150">
            <v>124</v>
          </cell>
          <cell r="C150" t="str">
            <v>Triplek 4 mm 120 x 240</v>
          </cell>
          <cell r="D150" t="str">
            <v>lbr</v>
          </cell>
          <cell r="E150">
            <v>36600</v>
          </cell>
        </row>
        <row r="151">
          <cell r="A151" t="str">
            <v>BJ03</v>
          </cell>
          <cell r="B151">
            <v>125</v>
          </cell>
          <cell r="C151" t="str">
            <v>Triplek 4 mm Ukuran Pintu</v>
          </cell>
          <cell r="D151" t="str">
            <v>lbr</v>
          </cell>
          <cell r="E151">
            <v>24400</v>
          </cell>
        </row>
        <row r="152">
          <cell r="A152" t="str">
            <v>BJ04</v>
          </cell>
          <cell r="B152">
            <v>126</v>
          </cell>
          <cell r="C152" t="str">
            <v>Triplek 6 mm 120 x 240</v>
          </cell>
          <cell r="D152" t="str">
            <v>lbr</v>
          </cell>
          <cell r="E152">
            <v>53600</v>
          </cell>
        </row>
        <row r="153">
          <cell r="A153" t="str">
            <v>BJ05</v>
          </cell>
          <cell r="B153">
            <v>127</v>
          </cell>
          <cell r="C153" t="str">
            <v>Triplek 9 mm 120 x 240</v>
          </cell>
          <cell r="D153" t="str">
            <v>lbr</v>
          </cell>
          <cell r="E153">
            <v>82900</v>
          </cell>
        </row>
        <row r="154">
          <cell r="A154" t="str">
            <v>BJ06</v>
          </cell>
          <cell r="B154">
            <v>128</v>
          </cell>
          <cell r="C154" t="str">
            <v>Jabar Wood 4 mm</v>
          </cell>
          <cell r="D154" t="str">
            <v>lbr</v>
          </cell>
          <cell r="E154">
            <v>48800</v>
          </cell>
        </row>
        <row r="155">
          <cell r="A155" t="str">
            <v>BJ07</v>
          </cell>
          <cell r="B155">
            <v>129</v>
          </cell>
          <cell r="C155" t="str">
            <v>Bilik Bambu ( tanpa kulit )</v>
          </cell>
          <cell r="D155" t="str">
            <v>m²</v>
          </cell>
          <cell r="E155">
            <v>4900</v>
          </cell>
        </row>
        <row r="156">
          <cell r="A156" t="str">
            <v>BJ08</v>
          </cell>
          <cell r="B156">
            <v>130</v>
          </cell>
          <cell r="C156" t="str">
            <v>Bilik Bambu ( dengan kulit )</v>
          </cell>
          <cell r="D156" t="str">
            <v>m²</v>
          </cell>
          <cell r="E156">
            <v>7300</v>
          </cell>
        </row>
        <row r="157">
          <cell r="A157" t="str">
            <v>BJ09</v>
          </cell>
          <cell r="B157">
            <v>131</v>
          </cell>
          <cell r="C157" t="str">
            <v>Bilik Bambu Hitam Variasi</v>
          </cell>
          <cell r="D157" t="str">
            <v>m²</v>
          </cell>
          <cell r="E157">
            <v>9800</v>
          </cell>
        </row>
        <row r="158">
          <cell r="A158" t="str">
            <v>BJ10</v>
          </cell>
          <cell r="B158">
            <v>132</v>
          </cell>
          <cell r="C158" t="str">
            <v>Wall Paper ( kls menengah )</v>
          </cell>
          <cell r="D158" t="str">
            <v>m²</v>
          </cell>
          <cell r="E158">
            <v>24400</v>
          </cell>
        </row>
        <row r="159">
          <cell r="A159" t="str">
            <v>BJ11</v>
          </cell>
          <cell r="B159">
            <v>133</v>
          </cell>
          <cell r="C159" t="str">
            <v>Multiplek 9 mm 120 x 240</v>
          </cell>
          <cell r="D159" t="str">
            <v>lbr</v>
          </cell>
          <cell r="E159">
            <v>71200</v>
          </cell>
        </row>
        <row r="160">
          <cell r="A160" t="str">
            <v>BJ12</v>
          </cell>
          <cell r="B160">
            <v>134</v>
          </cell>
          <cell r="C160" t="str">
            <v>Multiplek 12 mm 120 x 240</v>
          </cell>
          <cell r="D160" t="str">
            <v>lbr</v>
          </cell>
          <cell r="E160">
            <v>92600</v>
          </cell>
        </row>
        <row r="161">
          <cell r="A161" t="str">
            <v>BJ13</v>
          </cell>
          <cell r="B161">
            <v>135</v>
          </cell>
          <cell r="C161" t="str">
            <v>Multiplek 18 mm 120 x 240</v>
          </cell>
          <cell r="D161" t="str">
            <v>lbr</v>
          </cell>
          <cell r="E161">
            <v>121900</v>
          </cell>
        </row>
        <row r="162">
          <cell r="A162" t="str">
            <v>BJ14</v>
          </cell>
          <cell r="B162">
            <v>136</v>
          </cell>
          <cell r="C162" t="str">
            <v>Play Wood 18 mm 120 x 240</v>
          </cell>
          <cell r="D162" t="str">
            <v>lbr</v>
          </cell>
          <cell r="E162">
            <v>160900</v>
          </cell>
        </row>
        <row r="163">
          <cell r="A163" t="str">
            <v>BJ15</v>
          </cell>
          <cell r="B163">
            <v>137</v>
          </cell>
          <cell r="C163" t="str">
            <v>Teak Wood 3 mm 120 x 240</v>
          </cell>
          <cell r="D163" t="str">
            <v>lbr</v>
          </cell>
          <cell r="E163">
            <v>58500</v>
          </cell>
        </row>
        <row r="164">
          <cell r="A164" t="str">
            <v>BJ16</v>
          </cell>
          <cell r="B164">
            <v>138</v>
          </cell>
          <cell r="C164" t="str">
            <v>Teak Wood 4 mm 120 x 240</v>
          </cell>
          <cell r="D164" t="str">
            <v>lbr</v>
          </cell>
          <cell r="E164">
            <v>65800</v>
          </cell>
        </row>
        <row r="165">
          <cell r="A165" t="str">
            <v>BJ17</v>
          </cell>
          <cell r="B165">
            <v>139</v>
          </cell>
          <cell r="C165" t="str">
            <v xml:space="preserve">Teak Wood 3 mm 120 x 240 Ukuran Pintu </v>
          </cell>
          <cell r="D165" t="str">
            <v>lbr</v>
          </cell>
          <cell r="E165">
            <v>43900</v>
          </cell>
        </row>
        <row r="168">
          <cell r="A168" t="str">
            <v>BJ18</v>
          </cell>
          <cell r="B168">
            <v>140</v>
          </cell>
          <cell r="C168" t="str">
            <v>Teak Wood ukuran Pintu 4 mm</v>
          </cell>
          <cell r="D168" t="str">
            <v>lbr</v>
          </cell>
          <cell r="E168">
            <v>53600</v>
          </cell>
        </row>
        <row r="169">
          <cell r="A169" t="str">
            <v>BJ19</v>
          </cell>
          <cell r="B169">
            <v>141</v>
          </cell>
          <cell r="C169" t="str">
            <v>Tacon ( tahan bakar )</v>
          </cell>
          <cell r="D169" t="str">
            <v>m²</v>
          </cell>
          <cell r="E169">
            <v>58500</v>
          </cell>
        </row>
        <row r="170">
          <cell r="A170" t="str">
            <v>BJ20</v>
          </cell>
          <cell r="B170">
            <v>142</v>
          </cell>
          <cell r="C170" t="str">
            <v>Supercon</v>
          </cell>
          <cell r="D170" t="str">
            <v>m²</v>
          </cell>
          <cell r="E170">
            <v>20500</v>
          </cell>
        </row>
        <row r="171">
          <cell r="A171" t="str">
            <v>BJ21</v>
          </cell>
          <cell r="B171">
            <v>143</v>
          </cell>
          <cell r="C171" t="str">
            <v xml:space="preserve">Melamin 4 mm 120 x 240 </v>
          </cell>
          <cell r="D171" t="str">
            <v>lbr</v>
          </cell>
          <cell r="E171">
            <v>63400</v>
          </cell>
        </row>
        <row r="172">
          <cell r="A172" t="str">
            <v>BJ22</v>
          </cell>
          <cell r="B172">
            <v>144</v>
          </cell>
          <cell r="C172" t="str">
            <v>Melamin TOK 4 mm</v>
          </cell>
          <cell r="D172" t="str">
            <v>lbr</v>
          </cell>
          <cell r="E172">
            <v>96000</v>
          </cell>
        </row>
        <row r="173">
          <cell r="A173" t="str">
            <v>BJ23</v>
          </cell>
          <cell r="B173">
            <v>145</v>
          </cell>
          <cell r="C173" t="str">
            <v xml:space="preserve">Formika 120 x 240 </v>
          </cell>
          <cell r="D173" t="str">
            <v>lbr</v>
          </cell>
          <cell r="E173">
            <v>78000</v>
          </cell>
        </row>
        <row r="174">
          <cell r="A174" t="str">
            <v>BJ24</v>
          </cell>
          <cell r="B174">
            <v>146</v>
          </cell>
          <cell r="C174" t="str">
            <v>Formika Ukuran Pintu</v>
          </cell>
          <cell r="D174" t="str">
            <v>lbr</v>
          </cell>
          <cell r="E174">
            <v>58500</v>
          </cell>
        </row>
        <row r="176">
          <cell r="C176" t="str">
            <v>F. BAHAN LANTAI DAN PELAPIS DINDING</v>
          </cell>
        </row>
        <row r="177">
          <cell r="A177" t="str">
            <v>BL01</v>
          </cell>
          <cell r="B177">
            <v>147</v>
          </cell>
          <cell r="C177" t="str">
            <v>Tegel PC 20 x 20</v>
          </cell>
          <cell r="D177" t="str">
            <v>bh</v>
          </cell>
          <cell r="E177">
            <v>700</v>
          </cell>
        </row>
        <row r="178">
          <cell r="A178" t="str">
            <v>BL02</v>
          </cell>
          <cell r="B178">
            <v>148</v>
          </cell>
          <cell r="C178" t="str">
            <v>Plin Tegel PC 10 x 20</v>
          </cell>
          <cell r="D178" t="str">
            <v>bh</v>
          </cell>
          <cell r="E178">
            <v>600</v>
          </cell>
        </row>
        <row r="179">
          <cell r="A179" t="str">
            <v>BL03</v>
          </cell>
          <cell r="B179">
            <v>149</v>
          </cell>
          <cell r="C179" t="str">
            <v>Tegel PC 30 x 30</v>
          </cell>
          <cell r="D179" t="str">
            <v>bh</v>
          </cell>
          <cell r="E179">
            <v>900</v>
          </cell>
        </row>
        <row r="180">
          <cell r="A180" t="str">
            <v>BL04</v>
          </cell>
          <cell r="B180">
            <v>150</v>
          </cell>
          <cell r="C180" t="str">
            <v>Plin Tegel PC 15 x 30</v>
          </cell>
          <cell r="D180" t="str">
            <v>bh</v>
          </cell>
          <cell r="E180">
            <v>700</v>
          </cell>
        </row>
        <row r="181">
          <cell r="A181" t="str">
            <v>BL05</v>
          </cell>
          <cell r="B181">
            <v>151</v>
          </cell>
          <cell r="C181" t="str">
            <v>Tegel Warna 20 x 20</v>
          </cell>
          <cell r="D181" t="str">
            <v>bh</v>
          </cell>
          <cell r="E181">
            <v>900</v>
          </cell>
        </row>
        <row r="182">
          <cell r="A182" t="str">
            <v>BL06</v>
          </cell>
          <cell r="B182">
            <v>152</v>
          </cell>
          <cell r="C182" t="str">
            <v>Plin Tegel Warna 10 x 20</v>
          </cell>
          <cell r="D182" t="str">
            <v>bh</v>
          </cell>
          <cell r="E182">
            <v>700</v>
          </cell>
        </row>
        <row r="183">
          <cell r="A183" t="str">
            <v>BL07</v>
          </cell>
          <cell r="B183">
            <v>153</v>
          </cell>
          <cell r="C183" t="str">
            <v>Tegel Warna 30 x 30</v>
          </cell>
          <cell r="D183" t="str">
            <v>bh</v>
          </cell>
          <cell r="E183">
            <v>1300</v>
          </cell>
        </row>
        <row r="184">
          <cell r="A184" t="str">
            <v>BL08</v>
          </cell>
          <cell r="B184">
            <v>154</v>
          </cell>
          <cell r="C184" t="str">
            <v>Plin Tegel Warna 15 x 30</v>
          </cell>
          <cell r="D184" t="str">
            <v>bh</v>
          </cell>
          <cell r="E184">
            <v>1100</v>
          </cell>
        </row>
        <row r="185">
          <cell r="A185" t="str">
            <v>BL09</v>
          </cell>
          <cell r="B185">
            <v>155</v>
          </cell>
          <cell r="C185" t="str">
            <v>Tegel Wafel PC 20 x 20</v>
          </cell>
          <cell r="D185" t="str">
            <v>bh</v>
          </cell>
          <cell r="E185">
            <v>700</v>
          </cell>
        </row>
        <row r="186">
          <cell r="A186" t="str">
            <v>BL10</v>
          </cell>
          <cell r="B186">
            <v>156</v>
          </cell>
          <cell r="C186" t="str">
            <v>Tegel Wafel Warna 20 x 20</v>
          </cell>
          <cell r="D186" t="str">
            <v>bh</v>
          </cell>
          <cell r="E186">
            <v>1000</v>
          </cell>
        </row>
        <row r="187">
          <cell r="A187" t="str">
            <v>BL11</v>
          </cell>
          <cell r="B187">
            <v>157</v>
          </cell>
          <cell r="C187" t="str">
            <v>Tegel Badak PC 30 x 30</v>
          </cell>
          <cell r="D187" t="str">
            <v>bh</v>
          </cell>
          <cell r="E187">
            <v>1000</v>
          </cell>
        </row>
        <row r="188">
          <cell r="A188" t="str">
            <v>BL12</v>
          </cell>
          <cell r="B188">
            <v>158</v>
          </cell>
          <cell r="C188" t="str">
            <v>Poslin 11 x 11 Warna Standar DN</v>
          </cell>
          <cell r="D188" t="str">
            <v>m²</v>
          </cell>
          <cell r="E188">
            <v>23000</v>
          </cell>
        </row>
        <row r="189">
          <cell r="A189" t="str">
            <v>BL13</v>
          </cell>
          <cell r="B189">
            <v>159</v>
          </cell>
          <cell r="C189" t="str">
            <v>Poslin 11 x 11 Warna Khusus DN</v>
          </cell>
          <cell r="D189" t="str">
            <v>m²</v>
          </cell>
          <cell r="E189">
            <v>26500</v>
          </cell>
        </row>
        <row r="190">
          <cell r="A190" t="str">
            <v>BL14</v>
          </cell>
          <cell r="B190">
            <v>160</v>
          </cell>
          <cell r="C190" t="str">
            <v>Keramik 10 x 20 dan 20 x 20 KW I DN Putih  / Polos</v>
          </cell>
          <cell r="D190" t="str">
            <v>m²</v>
          </cell>
          <cell r="E190">
            <v>24000</v>
          </cell>
        </row>
        <row r="191">
          <cell r="A191" t="str">
            <v>BL15</v>
          </cell>
          <cell r="B191">
            <v>161</v>
          </cell>
          <cell r="C191" t="str">
            <v>Keramik 10 x 20 KW I DN Corak / Warna / Anti Slip</v>
          </cell>
          <cell r="D191" t="str">
            <v>m²</v>
          </cell>
          <cell r="E191">
            <v>27000</v>
          </cell>
        </row>
        <row r="192">
          <cell r="A192" t="str">
            <v>BL16</v>
          </cell>
          <cell r="B192">
            <v>162</v>
          </cell>
          <cell r="C192" t="str">
            <v>Keramik 20 x 20 (KM) KW I DN Corak / Warna / Anti Slip</v>
          </cell>
          <cell r="D192" t="str">
            <v>m²</v>
          </cell>
          <cell r="E192">
            <v>29000</v>
          </cell>
        </row>
        <row r="193">
          <cell r="A193" t="str">
            <v>BL17</v>
          </cell>
          <cell r="B193">
            <v>163</v>
          </cell>
          <cell r="C193" t="str">
            <v xml:space="preserve">Keramik 20 x 20 (KM) KWI DN Putih Polos </v>
          </cell>
          <cell r="D193" t="str">
            <v>m²</v>
          </cell>
          <cell r="E193">
            <v>26500</v>
          </cell>
        </row>
        <row r="194">
          <cell r="A194" t="str">
            <v>BL18</v>
          </cell>
          <cell r="B194">
            <v>164</v>
          </cell>
          <cell r="C194" t="str">
            <v xml:space="preserve">Keramik 20 x 25 Dinding KM KWI DN Corak </v>
          </cell>
          <cell r="D194" t="str">
            <v>m²</v>
          </cell>
          <cell r="E194">
            <v>35500</v>
          </cell>
        </row>
        <row r="195">
          <cell r="A195" t="str">
            <v>BL19</v>
          </cell>
          <cell r="B195">
            <v>165</v>
          </cell>
          <cell r="C195" t="str">
            <v>Keramik 30 x 30 KW I DN putih polos</v>
          </cell>
          <cell r="D195" t="str">
            <v>m²</v>
          </cell>
          <cell r="E195">
            <v>27000</v>
          </cell>
        </row>
        <row r="196">
          <cell r="A196" t="str">
            <v>BL20</v>
          </cell>
          <cell r="B196">
            <v>166</v>
          </cell>
          <cell r="C196" t="str">
            <v>Keramik 30 x 30 KW I DN Warna/Corak ( ANTI SLIP )</v>
          </cell>
          <cell r="D196" t="str">
            <v>m²</v>
          </cell>
          <cell r="E196">
            <v>36500</v>
          </cell>
        </row>
        <row r="197">
          <cell r="A197" t="str">
            <v>BL21</v>
          </cell>
          <cell r="B197">
            <v>167</v>
          </cell>
          <cell r="C197" t="str">
            <v>Vinyl Lantai standar</v>
          </cell>
          <cell r="D197" t="str">
            <v>m²</v>
          </cell>
          <cell r="E197">
            <v>14000</v>
          </cell>
        </row>
        <row r="198">
          <cell r="A198" t="str">
            <v>BL22</v>
          </cell>
          <cell r="B198">
            <v>168</v>
          </cell>
          <cell r="C198" t="str">
            <v>Karpet Kelas Baik LN</v>
          </cell>
          <cell r="D198" t="str">
            <v>m²</v>
          </cell>
          <cell r="E198">
            <v>424500</v>
          </cell>
        </row>
        <row r="199">
          <cell r="A199" t="str">
            <v>BL23</v>
          </cell>
          <cell r="B199">
            <v>169</v>
          </cell>
          <cell r="C199" t="str">
            <v>Karpet Kelas Sedang LN</v>
          </cell>
          <cell r="D199" t="str">
            <v>m²</v>
          </cell>
          <cell r="E199">
            <v>165800</v>
          </cell>
        </row>
        <row r="200">
          <cell r="A200" t="str">
            <v>BL24</v>
          </cell>
          <cell r="B200">
            <v>170</v>
          </cell>
          <cell r="C200" t="str">
            <v>Stairnosing keramik 10/20</v>
          </cell>
          <cell r="D200" t="str">
            <v>bh</v>
          </cell>
          <cell r="E200">
            <v>3700</v>
          </cell>
        </row>
        <row r="201">
          <cell r="A201" t="str">
            <v>BL25</v>
          </cell>
          <cell r="B201">
            <v>171</v>
          </cell>
          <cell r="C201" t="str">
            <v>Stairnosing fiber</v>
          </cell>
          <cell r="D201" t="str">
            <v>m'</v>
          </cell>
          <cell r="E201">
            <v>9800</v>
          </cell>
        </row>
        <row r="202">
          <cell r="A202" t="str">
            <v>BL26</v>
          </cell>
          <cell r="B202">
            <v>172</v>
          </cell>
          <cell r="C202" t="str">
            <v>Taraso Kerang 30 x 30</v>
          </cell>
          <cell r="D202" t="str">
            <v>m²</v>
          </cell>
          <cell r="E202">
            <v>14500</v>
          </cell>
        </row>
        <row r="203">
          <cell r="A203" t="str">
            <v>BL27</v>
          </cell>
          <cell r="B203">
            <v>173</v>
          </cell>
          <cell r="C203" t="str">
            <v>Plin Taraso 10 x 30</v>
          </cell>
          <cell r="D203" t="str">
            <v>bh</v>
          </cell>
          <cell r="E203">
            <v>3400</v>
          </cell>
        </row>
        <row r="204">
          <cell r="A204" t="str">
            <v>BL28</v>
          </cell>
          <cell r="B204">
            <v>174</v>
          </cell>
          <cell r="C204" t="str">
            <v xml:space="preserve">Granit Alam LN Ukuran Besar </v>
          </cell>
          <cell r="D204" t="str">
            <v>m²</v>
          </cell>
          <cell r="E204">
            <v>949000</v>
          </cell>
        </row>
        <row r="205">
          <cell r="A205" t="str">
            <v>BL29</v>
          </cell>
          <cell r="B205">
            <v>175</v>
          </cell>
          <cell r="C205" t="str">
            <v xml:space="preserve">Granit Alam LN Ukuran Kecil </v>
          </cell>
          <cell r="D205" t="str">
            <v>m²</v>
          </cell>
          <cell r="E205">
            <v>799000</v>
          </cell>
        </row>
        <row r="206">
          <cell r="A206" t="str">
            <v>BL30</v>
          </cell>
          <cell r="B206">
            <v>176</v>
          </cell>
          <cell r="C206" t="str">
            <v xml:space="preserve">Granit Alam DN Ukuran Besar </v>
          </cell>
          <cell r="D206" t="str">
            <v>m²</v>
          </cell>
          <cell r="E206">
            <v>699000</v>
          </cell>
        </row>
        <row r="209">
          <cell r="A209" t="str">
            <v>BL31</v>
          </cell>
          <cell r="B209">
            <v>177</v>
          </cell>
          <cell r="C209" t="str">
            <v>Granit Alam DN Ukuran Kecil</v>
          </cell>
          <cell r="D209" t="str">
            <v>m²</v>
          </cell>
          <cell r="E209">
            <v>649000</v>
          </cell>
        </row>
        <row r="210">
          <cell r="A210" t="str">
            <v>BL32</v>
          </cell>
          <cell r="B210">
            <v>178</v>
          </cell>
          <cell r="C210" t="str">
            <v>Granito Tile Essenza Ukuran 40 x 40 Polis</v>
          </cell>
          <cell r="D210" t="str">
            <v>m²</v>
          </cell>
          <cell r="E210">
            <v>129000</v>
          </cell>
        </row>
        <row r="211">
          <cell r="A211" t="str">
            <v>BL33</v>
          </cell>
          <cell r="B211">
            <v>179</v>
          </cell>
          <cell r="C211" t="str">
            <v>Granito Tile Essenza Ukuran 40 x 40 Unpolis</v>
          </cell>
          <cell r="D211" t="str">
            <v>m²</v>
          </cell>
          <cell r="E211">
            <v>74000</v>
          </cell>
        </row>
        <row r="212">
          <cell r="A212" t="str">
            <v>BL34</v>
          </cell>
          <cell r="B212">
            <v>180</v>
          </cell>
          <cell r="C212" t="str">
            <v xml:space="preserve">Marmer Alam  Lampung Ukuran Besar </v>
          </cell>
          <cell r="D212" t="str">
            <v>m²</v>
          </cell>
          <cell r="E212">
            <v>204000</v>
          </cell>
        </row>
        <row r="213">
          <cell r="A213" t="str">
            <v>BL35</v>
          </cell>
          <cell r="B213">
            <v>181</v>
          </cell>
          <cell r="C213" t="str">
            <v>Marmer Alam  Lampung Ukuran Kecil</v>
          </cell>
          <cell r="D213" t="str">
            <v>m²</v>
          </cell>
          <cell r="E213">
            <v>169000</v>
          </cell>
        </row>
        <row r="214">
          <cell r="A214" t="str">
            <v>BL36</v>
          </cell>
          <cell r="B214">
            <v>182</v>
          </cell>
          <cell r="C214" t="str">
            <v xml:space="preserve">Marmer Alam Citatah Ukuran Besar </v>
          </cell>
          <cell r="D214" t="str">
            <v>m²</v>
          </cell>
          <cell r="E214">
            <v>109000</v>
          </cell>
        </row>
        <row r="215">
          <cell r="A215" t="str">
            <v>BL37</v>
          </cell>
          <cell r="B215">
            <v>183</v>
          </cell>
          <cell r="C215" t="str">
            <v>Marmer Alam Citatah Ukuran Kecil</v>
          </cell>
          <cell r="D215" t="str">
            <v>m²</v>
          </cell>
          <cell r="E215">
            <v>83000</v>
          </cell>
        </row>
        <row r="216">
          <cell r="A216" t="str">
            <v>BL38</v>
          </cell>
          <cell r="B216">
            <v>184</v>
          </cell>
          <cell r="C216" t="str">
            <v>Marmer Sintetis</v>
          </cell>
          <cell r="D216" t="str">
            <v>m²</v>
          </cell>
          <cell r="E216">
            <v>65000</v>
          </cell>
        </row>
        <row r="217">
          <cell r="A217" t="str">
            <v>BL39</v>
          </cell>
          <cell r="B217">
            <v>185</v>
          </cell>
          <cell r="C217" t="str">
            <v>Granito Tile Essenza 60 x 60  Polis</v>
          </cell>
          <cell r="D217" t="str">
            <v>m²</v>
          </cell>
          <cell r="E217">
            <v>159000</v>
          </cell>
        </row>
        <row r="218">
          <cell r="A218" t="str">
            <v>BL40</v>
          </cell>
          <cell r="B218">
            <v>186</v>
          </cell>
          <cell r="C218" t="str">
            <v>Granito Tile Essenza 60 x 60  Unpolis</v>
          </cell>
          <cell r="D218" t="str">
            <v>m²</v>
          </cell>
          <cell r="E218">
            <v>89000</v>
          </cell>
        </row>
        <row r="219">
          <cell r="A219" t="str">
            <v>BL41</v>
          </cell>
          <cell r="B219">
            <v>187</v>
          </cell>
          <cell r="C219" t="str">
            <v xml:space="preserve">Bata Karawang </v>
          </cell>
          <cell r="D219" t="str">
            <v>bh</v>
          </cell>
          <cell r="E219">
            <v>1500</v>
          </cell>
        </row>
        <row r="220">
          <cell r="A220" t="str">
            <v>BL42</v>
          </cell>
          <cell r="B220">
            <v>188</v>
          </cell>
          <cell r="C220" t="str">
            <v>Campuran untuk Kedap Air</v>
          </cell>
          <cell r="D220" t="str">
            <v>ls</v>
          </cell>
          <cell r="E220">
            <v>16500</v>
          </cell>
        </row>
        <row r="222">
          <cell r="C222" t="str">
            <v>G. BAHAN SALURAN AIR KOTOR / BERSIH</v>
          </cell>
        </row>
        <row r="223">
          <cell r="A223" t="str">
            <v>BN01</v>
          </cell>
          <cell r="B223">
            <v>189</v>
          </cell>
          <cell r="C223" t="str">
            <v>Grafel U 20 cm'</v>
          </cell>
          <cell r="D223" t="str">
            <v>m1</v>
          </cell>
          <cell r="E223">
            <v>12000</v>
          </cell>
        </row>
        <row r="224">
          <cell r="A224" t="str">
            <v>BN02</v>
          </cell>
          <cell r="B224">
            <v>190</v>
          </cell>
          <cell r="C224" t="str">
            <v>Grafel U 30 cm'</v>
          </cell>
          <cell r="D224" t="str">
            <v>m1</v>
          </cell>
          <cell r="E224">
            <v>17500</v>
          </cell>
        </row>
        <row r="225">
          <cell r="A225" t="str">
            <v>BN03</v>
          </cell>
          <cell r="B225">
            <v>191</v>
          </cell>
          <cell r="C225" t="str">
            <v>Grafel U 40 cm'</v>
          </cell>
          <cell r="D225" t="str">
            <v>m1</v>
          </cell>
          <cell r="E225">
            <v>20000</v>
          </cell>
        </row>
        <row r="226">
          <cell r="A226" t="str">
            <v>BN04</v>
          </cell>
          <cell r="B226">
            <v>192</v>
          </cell>
          <cell r="C226" t="str">
            <v>Buis Beton Ø 20 cm ( 1 m' )</v>
          </cell>
          <cell r="D226" t="str">
            <v>m1</v>
          </cell>
          <cell r="E226">
            <v>22000</v>
          </cell>
        </row>
        <row r="227">
          <cell r="A227" t="str">
            <v>BN05</v>
          </cell>
          <cell r="B227">
            <v>193</v>
          </cell>
          <cell r="C227" t="str">
            <v>Buis Beton Ø 30 cm ( 1 m' )</v>
          </cell>
          <cell r="D227" t="str">
            <v>m1</v>
          </cell>
          <cell r="E227">
            <v>32000</v>
          </cell>
        </row>
        <row r="228">
          <cell r="A228" t="str">
            <v>BN06</v>
          </cell>
          <cell r="B228">
            <v>194</v>
          </cell>
          <cell r="C228" t="str">
            <v>Buis Beton Ø 40 cm ( 1 m' )</v>
          </cell>
          <cell r="D228" t="str">
            <v>m1</v>
          </cell>
          <cell r="E228">
            <v>39000</v>
          </cell>
        </row>
        <row r="229">
          <cell r="A229" t="str">
            <v>BN07</v>
          </cell>
          <cell r="B229">
            <v>195</v>
          </cell>
          <cell r="C229" t="str">
            <v>Buis Beton Ø 50 cm ( 1 m' )</v>
          </cell>
          <cell r="D229" t="str">
            <v>stk</v>
          </cell>
          <cell r="E229">
            <v>50000</v>
          </cell>
        </row>
        <row r="230">
          <cell r="A230" t="str">
            <v>BN08</v>
          </cell>
          <cell r="B230">
            <v>196</v>
          </cell>
          <cell r="C230" t="str">
            <v>Buis Beton Ø 60 cm ( 1 m' )</v>
          </cell>
          <cell r="D230" t="str">
            <v>stk</v>
          </cell>
          <cell r="E230">
            <v>65000</v>
          </cell>
        </row>
        <row r="231">
          <cell r="A231" t="str">
            <v>BN09</v>
          </cell>
          <cell r="B231">
            <v>197</v>
          </cell>
          <cell r="C231" t="str">
            <v>Buis Beton Ø 100 cm ( 0.50 m )</v>
          </cell>
          <cell r="D231" t="str">
            <v>stk</v>
          </cell>
          <cell r="E231">
            <v>85000</v>
          </cell>
        </row>
        <row r="232">
          <cell r="A232" t="str">
            <v>BN10</v>
          </cell>
          <cell r="B232">
            <v>198</v>
          </cell>
          <cell r="C232" t="str">
            <v>Buis Beton Ø 80 cm ( 0.50 m )</v>
          </cell>
          <cell r="D232" t="str">
            <v>stk</v>
          </cell>
          <cell r="E232">
            <v>70000</v>
          </cell>
        </row>
        <row r="233">
          <cell r="A233" t="str">
            <v>BN11</v>
          </cell>
          <cell r="B233">
            <v>199</v>
          </cell>
          <cell r="C233" t="str">
            <v>Buis Tanah Ø 10 cm ( 0.50 m )</v>
          </cell>
          <cell r="D233" t="str">
            <v>stk</v>
          </cell>
          <cell r="E233">
            <v>3500</v>
          </cell>
        </row>
        <row r="234">
          <cell r="A234" t="str">
            <v>BN12</v>
          </cell>
          <cell r="B234">
            <v>200</v>
          </cell>
          <cell r="C234" t="str">
            <v>Buis Tanah Ø 15 cm ( 0.50 m )</v>
          </cell>
          <cell r="D234" t="str">
            <v>stk</v>
          </cell>
          <cell r="E234">
            <v>5500</v>
          </cell>
        </row>
        <row r="235">
          <cell r="A235" t="str">
            <v>BN13</v>
          </cell>
          <cell r="B235">
            <v>201</v>
          </cell>
          <cell r="C235" t="str">
            <v>Buis Tanah Ø 20 cm ( 0.50 m )</v>
          </cell>
          <cell r="D235" t="str">
            <v>stk</v>
          </cell>
          <cell r="E235">
            <v>6500</v>
          </cell>
        </row>
        <row r="236">
          <cell r="A236" t="str">
            <v>BN14</v>
          </cell>
          <cell r="B236">
            <v>202</v>
          </cell>
          <cell r="C236" t="str">
            <v>Buis Tanah Ø 25 cm ( 0.50 m )</v>
          </cell>
          <cell r="D236" t="str">
            <v>stk</v>
          </cell>
          <cell r="E236">
            <v>9000</v>
          </cell>
        </row>
        <row r="237">
          <cell r="A237" t="str">
            <v>BN15</v>
          </cell>
          <cell r="B237">
            <v>203</v>
          </cell>
          <cell r="C237" t="str">
            <v>Injuk</v>
          </cell>
          <cell r="D237" t="str">
            <v>kg</v>
          </cell>
          <cell r="E237">
            <v>2500</v>
          </cell>
        </row>
        <row r="239">
          <cell r="C239" t="str">
            <v>H. BAHAN LOGAM DAN BAHAN JADINYA</v>
          </cell>
        </row>
        <row r="240">
          <cell r="A240" t="str">
            <v>BP01</v>
          </cell>
          <cell r="B240">
            <v>204</v>
          </cell>
          <cell r="C240" t="str">
            <v>Besi Beton U-24 Rata - Rata</v>
          </cell>
          <cell r="D240" t="str">
            <v>kg</v>
          </cell>
          <cell r="E240">
            <v>2900</v>
          </cell>
        </row>
        <row r="241">
          <cell r="A241" t="str">
            <v>BP02</v>
          </cell>
          <cell r="B241">
            <v>205</v>
          </cell>
          <cell r="C241" t="str">
            <v>Besi Beton U-39 / U-32 Rata - Rata</v>
          </cell>
          <cell r="D241" t="str">
            <v>kg</v>
          </cell>
          <cell r="E241">
            <v>3000</v>
          </cell>
        </row>
        <row r="242">
          <cell r="A242" t="str">
            <v>BP03</v>
          </cell>
          <cell r="B242">
            <v>206</v>
          </cell>
          <cell r="C242" t="str">
            <v>Pagar BRC Lengkap Tiang ( Tanpa Pondasi )</v>
          </cell>
          <cell r="D242" t="str">
            <v>m²</v>
          </cell>
          <cell r="E242">
            <v>63300</v>
          </cell>
        </row>
        <row r="243">
          <cell r="A243" t="str">
            <v>BP04</v>
          </cell>
          <cell r="B243">
            <v>207</v>
          </cell>
          <cell r="C243" t="str">
            <v>Bondek</v>
          </cell>
          <cell r="D243" t="str">
            <v>m²</v>
          </cell>
          <cell r="E243">
            <v>73100</v>
          </cell>
        </row>
        <row r="244">
          <cell r="A244" t="str">
            <v>BP05</v>
          </cell>
          <cell r="B244">
            <v>208</v>
          </cell>
          <cell r="C244" t="str">
            <v>IWF Ex DN SII</v>
          </cell>
          <cell r="D244" t="str">
            <v>kg</v>
          </cell>
          <cell r="E244">
            <v>3800</v>
          </cell>
        </row>
        <row r="245">
          <cell r="A245" t="str">
            <v>BP06</v>
          </cell>
          <cell r="B245">
            <v>209</v>
          </cell>
          <cell r="C245" t="str">
            <v>IWF Ex Jepang</v>
          </cell>
          <cell r="D245" t="str">
            <v>kg</v>
          </cell>
          <cell r="E245">
            <v>4000</v>
          </cell>
        </row>
        <row r="246">
          <cell r="A246" t="str">
            <v>BP07</v>
          </cell>
          <cell r="B246">
            <v>210</v>
          </cell>
          <cell r="C246" t="str">
            <v>Besi Profil DN SII</v>
          </cell>
          <cell r="D246" t="str">
            <v>kg</v>
          </cell>
          <cell r="E246">
            <v>3200</v>
          </cell>
        </row>
        <row r="247">
          <cell r="A247" t="str">
            <v>BP08</v>
          </cell>
          <cell r="B247">
            <v>211</v>
          </cell>
          <cell r="C247" t="str">
            <v>Besi Profil Ex LN</v>
          </cell>
          <cell r="D247" t="str">
            <v>kg</v>
          </cell>
          <cell r="E247">
            <v>3400</v>
          </cell>
        </row>
        <row r="250">
          <cell r="A250" t="str">
            <v>BP09</v>
          </cell>
          <cell r="B250">
            <v>212</v>
          </cell>
          <cell r="C250" t="str">
            <v>Besi C Lip Chanel</v>
          </cell>
          <cell r="D250" t="str">
            <v>kg</v>
          </cell>
          <cell r="E250">
            <v>3100</v>
          </cell>
        </row>
        <row r="251">
          <cell r="A251" t="str">
            <v>BP10</v>
          </cell>
          <cell r="B251">
            <v>213</v>
          </cell>
          <cell r="C251" t="str">
            <v>Ongkos Galfanis Besi</v>
          </cell>
          <cell r="D251" t="str">
            <v>kg</v>
          </cell>
          <cell r="E251">
            <v>3000</v>
          </cell>
        </row>
        <row r="252">
          <cell r="A252" t="str">
            <v>BP11</v>
          </cell>
          <cell r="B252">
            <v>214</v>
          </cell>
          <cell r="C252" t="str">
            <v>Kawat Beton</v>
          </cell>
          <cell r="D252" t="str">
            <v>kg</v>
          </cell>
          <cell r="E252">
            <v>6600</v>
          </cell>
        </row>
        <row r="253">
          <cell r="A253" t="str">
            <v>BP12</v>
          </cell>
          <cell r="B253">
            <v>215</v>
          </cell>
          <cell r="C253" t="str">
            <v>Kawat Duri</v>
          </cell>
          <cell r="D253" t="str">
            <v>m1</v>
          </cell>
          <cell r="E253">
            <v>1600</v>
          </cell>
        </row>
        <row r="254">
          <cell r="A254" t="str">
            <v>BP13</v>
          </cell>
          <cell r="B254">
            <v>216</v>
          </cell>
          <cell r="C254" t="str">
            <v xml:space="preserve">Kawat Pengikat </v>
          </cell>
          <cell r="D254" t="str">
            <v>m1</v>
          </cell>
          <cell r="E254">
            <v>500</v>
          </cell>
        </row>
        <row r="255">
          <cell r="A255" t="str">
            <v>BP14</v>
          </cell>
          <cell r="B255">
            <v>217</v>
          </cell>
          <cell r="C255" t="str">
            <v>Kawat Bronjong 4 mm</v>
          </cell>
          <cell r="D255" t="str">
            <v>kg</v>
          </cell>
          <cell r="E255">
            <v>3000</v>
          </cell>
        </row>
        <row r="256">
          <cell r="A256" t="str">
            <v>BP15</v>
          </cell>
          <cell r="B256">
            <v>218</v>
          </cell>
          <cell r="C256" t="str">
            <v>Kawat Tembaga</v>
          </cell>
          <cell r="D256" t="str">
            <v>kg</v>
          </cell>
          <cell r="E256">
            <v>14700</v>
          </cell>
        </row>
        <row r="257">
          <cell r="A257" t="str">
            <v>BP16</v>
          </cell>
          <cell r="B257">
            <v>219</v>
          </cell>
          <cell r="C257" t="str">
            <v>Ram Nyamuk Hijau</v>
          </cell>
          <cell r="D257" t="str">
            <v>m²</v>
          </cell>
          <cell r="E257">
            <v>2900</v>
          </cell>
        </row>
        <row r="258">
          <cell r="A258" t="str">
            <v>BP17</v>
          </cell>
          <cell r="B258">
            <v>220</v>
          </cell>
          <cell r="C258" t="str">
            <v>Ram Kawat 1 x 1 cm</v>
          </cell>
          <cell r="D258" t="str">
            <v>m²</v>
          </cell>
          <cell r="E258">
            <v>3900</v>
          </cell>
        </row>
        <row r="259">
          <cell r="A259" t="str">
            <v>BP18</v>
          </cell>
          <cell r="B259">
            <v>221</v>
          </cell>
          <cell r="C259" t="str">
            <v>Ram Ayam</v>
          </cell>
          <cell r="D259" t="str">
            <v>m²</v>
          </cell>
          <cell r="E259">
            <v>1600</v>
          </cell>
        </row>
        <row r="260">
          <cell r="A260" t="str">
            <v>BP19</v>
          </cell>
          <cell r="B260">
            <v>222</v>
          </cell>
          <cell r="C260" t="str">
            <v xml:space="preserve">Kawat Kasa 1 x 1 cm ( Putih ) </v>
          </cell>
          <cell r="D260" t="str">
            <v>m²</v>
          </cell>
          <cell r="E260">
            <v>14000</v>
          </cell>
        </row>
        <row r="261">
          <cell r="A261" t="str">
            <v>BP20</v>
          </cell>
          <cell r="B261">
            <v>223</v>
          </cell>
          <cell r="C261" t="str">
            <v>Kawat Harmonika 4 cm</v>
          </cell>
          <cell r="D261" t="str">
            <v>m²</v>
          </cell>
          <cell r="E261">
            <v>16800</v>
          </cell>
        </row>
        <row r="262">
          <cell r="A262" t="str">
            <v>BP21</v>
          </cell>
          <cell r="B262">
            <v>224</v>
          </cell>
          <cell r="C262" t="str">
            <v>Kawat Harmonika 2 cm</v>
          </cell>
          <cell r="D262" t="str">
            <v>m²</v>
          </cell>
          <cell r="E262">
            <v>11200</v>
          </cell>
        </row>
        <row r="263">
          <cell r="A263" t="str">
            <v>BP22</v>
          </cell>
          <cell r="B263">
            <v>225</v>
          </cell>
          <cell r="C263" t="str">
            <v>Kawat Las Listrik</v>
          </cell>
          <cell r="D263" t="str">
            <v>kg</v>
          </cell>
          <cell r="E263">
            <v>9500</v>
          </cell>
        </row>
        <row r="264">
          <cell r="A264" t="str">
            <v>BP23</v>
          </cell>
          <cell r="B264">
            <v>226</v>
          </cell>
          <cell r="C264" t="str">
            <v>Wiremesh M8</v>
          </cell>
          <cell r="D264" t="str">
            <v>m²</v>
          </cell>
          <cell r="E264">
            <v>20900</v>
          </cell>
        </row>
        <row r="265">
          <cell r="A265" t="str">
            <v>BP24</v>
          </cell>
          <cell r="B265">
            <v>227</v>
          </cell>
          <cell r="C265" t="str">
            <v>Wiremesh M6</v>
          </cell>
          <cell r="D265" t="str">
            <v>m²</v>
          </cell>
          <cell r="E265">
            <v>17000</v>
          </cell>
        </row>
        <row r="266">
          <cell r="A266" t="str">
            <v>BP25</v>
          </cell>
          <cell r="B266">
            <v>228</v>
          </cell>
          <cell r="C266" t="str">
            <v>Timah</v>
          </cell>
          <cell r="D266" t="str">
            <v>kg</v>
          </cell>
          <cell r="E266">
            <v>19500</v>
          </cell>
        </row>
        <row r="267">
          <cell r="A267" t="str">
            <v>BP26</v>
          </cell>
          <cell r="B267">
            <v>229</v>
          </cell>
          <cell r="C267" t="str">
            <v>Timah Hitam</v>
          </cell>
          <cell r="D267" t="str">
            <v>kg</v>
          </cell>
          <cell r="E267">
            <v>17000</v>
          </cell>
        </row>
        <row r="268">
          <cell r="A268" t="str">
            <v>BP27</v>
          </cell>
          <cell r="B268">
            <v>230</v>
          </cell>
          <cell r="C268" t="str">
            <v>Ram Nyamuk Aluminium</v>
          </cell>
          <cell r="D268" t="str">
            <v>m²</v>
          </cell>
          <cell r="E268">
            <v>9700</v>
          </cell>
        </row>
        <row r="269">
          <cell r="A269" t="str">
            <v>BP28</v>
          </cell>
          <cell r="B269">
            <v>231</v>
          </cell>
          <cell r="C269" t="str">
            <v xml:space="preserve">Plat Srip Ø 2 x 30 mm ( 6 m1) </v>
          </cell>
          <cell r="D269" t="str">
            <v>bt</v>
          </cell>
          <cell r="E269">
            <v>13600</v>
          </cell>
        </row>
        <row r="270">
          <cell r="A270" t="str">
            <v>BP29</v>
          </cell>
          <cell r="B270">
            <v>232</v>
          </cell>
          <cell r="C270" t="str">
            <v xml:space="preserve">Plat Srip Ø 3 x 30 mm ( 6 m1) </v>
          </cell>
          <cell r="D270" t="str">
            <v>bt</v>
          </cell>
          <cell r="E270">
            <v>17500</v>
          </cell>
        </row>
        <row r="271">
          <cell r="A271" t="str">
            <v>BP30</v>
          </cell>
          <cell r="B271">
            <v>233</v>
          </cell>
          <cell r="C271" t="str">
            <v>Plat Alumunium 0.2 mm</v>
          </cell>
          <cell r="D271" t="str">
            <v>m²</v>
          </cell>
          <cell r="E271">
            <v>39500</v>
          </cell>
        </row>
        <row r="272">
          <cell r="A272" t="str">
            <v>BP31</v>
          </cell>
          <cell r="B272">
            <v>234</v>
          </cell>
          <cell r="C272" t="str">
            <v>Plat Alumunium 0.3 mm</v>
          </cell>
          <cell r="D272" t="str">
            <v>m²</v>
          </cell>
          <cell r="E272">
            <v>50600</v>
          </cell>
        </row>
        <row r="273">
          <cell r="A273" t="str">
            <v>BP32</v>
          </cell>
          <cell r="B273">
            <v>235</v>
          </cell>
          <cell r="C273" t="str">
            <v>Plat Alumunium 0.4 mm</v>
          </cell>
          <cell r="D273" t="str">
            <v>m²</v>
          </cell>
          <cell r="E273">
            <v>61800</v>
          </cell>
        </row>
        <row r="274">
          <cell r="A274" t="str">
            <v>BP33</v>
          </cell>
          <cell r="B274">
            <v>236</v>
          </cell>
          <cell r="C274" t="str">
            <v>Plat Alumunium 0.5 mm</v>
          </cell>
          <cell r="D274" t="str">
            <v>m²</v>
          </cell>
          <cell r="E274">
            <v>72800</v>
          </cell>
        </row>
        <row r="275">
          <cell r="A275" t="str">
            <v>BP34</v>
          </cell>
          <cell r="B275">
            <v>237</v>
          </cell>
          <cell r="C275" t="str">
            <v>Plat Alumunium 0.6 mm</v>
          </cell>
          <cell r="D275" t="str">
            <v>m²</v>
          </cell>
          <cell r="E275">
            <v>84300</v>
          </cell>
        </row>
        <row r="276">
          <cell r="A276" t="str">
            <v>BP35</v>
          </cell>
          <cell r="B276">
            <v>238</v>
          </cell>
          <cell r="C276" t="str">
            <v>Plat Alumunium 0.1 mm</v>
          </cell>
          <cell r="D276" t="str">
            <v>m²</v>
          </cell>
          <cell r="E276">
            <v>22400</v>
          </cell>
        </row>
        <row r="277">
          <cell r="A277" t="str">
            <v>BP36</v>
          </cell>
          <cell r="B277">
            <v>239</v>
          </cell>
          <cell r="C277" t="str">
            <v>Kusen Alumunium Natural 1.3 mm  t=1,3 mm ( 4 " )</v>
          </cell>
          <cell r="D277" t="str">
            <v>m1</v>
          </cell>
          <cell r="E277">
            <v>51700</v>
          </cell>
        </row>
        <row r="278">
          <cell r="A278" t="str">
            <v>BP37</v>
          </cell>
          <cell r="B278">
            <v>240</v>
          </cell>
          <cell r="C278" t="str">
            <v>Kusen Alumunium Warna 1.3 mm t=1,3 mm ( 4 " )</v>
          </cell>
          <cell r="D278" t="str">
            <v>m1</v>
          </cell>
          <cell r="E278">
            <v>74000</v>
          </cell>
        </row>
        <row r="279">
          <cell r="A279" t="str">
            <v>BP38</v>
          </cell>
          <cell r="B279">
            <v>241</v>
          </cell>
          <cell r="C279" t="str">
            <v xml:space="preserve">Daun Jendela Alumunium Natural ( Tanpa Kaca ) </v>
          </cell>
          <cell r="D279" t="str">
            <v>m²</v>
          </cell>
          <cell r="E279">
            <v>46000</v>
          </cell>
        </row>
        <row r="280">
          <cell r="A280" t="str">
            <v>BP39</v>
          </cell>
          <cell r="B280">
            <v>242</v>
          </cell>
          <cell r="C280" t="str">
            <v>Daun Jendela Alumunium Warna ( Tanpa Kaca )</v>
          </cell>
          <cell r="D280" t="str">
            <v>m²</v>
          </cell>
          <cell r="E280">
            <v>68400</v>
          </cell>
        </row>
        <row r="281">
          <cell r="A281" t="str">
            <v>BP40</v>
          </cell>
          <cell r="B281">
            <v>243</v>
          </cell>
          <cell r="C281" t="str">
            <v>Daun Pintu Alumunium Natural tanpa kaca</v>
          </cell>
          <cell r="D281" t="str">
            <v>m²</v>
          </cell>
          <cell r="E281">
            <v>90800</v>
          </cell>
        </row>
        <row r="282">
          <cell r="A282" t="str">
            <v>BP41</v>
          </cell>
          <cell r="B282">
            <v>244</v>
          </cell>
          <cell r="C282" t="str">
            <v>Daun Pintu Alumunium Warna tanpa kaca</v>
          </cell>
          <cell r="D282" t="str">
            <v>m²</v>
          </cell>
          <cell r="E282">
            <v>99100</v>
          </cell>
        </row>
        <row r="283">
          <cell r="A283" t="str">
            <v>BP42</v>
          </cell>
          <cell r="B283">
            <v>245</v>
          </cell>
          <cell r="C283" t="str">
            <v xml:space="preserve">Handle Alumunium ( Tarikan Pintu Alumunium ) </v>
          </cell>
          <cell r="D283" t="str">
            <v>bh</v>
          </cell>
          <cell r="E283">
            <v>194800</v>
          </cell>
        </row>
        <row r="284">
          <cell r="A284" t="str">
            <v>BP43</v>
          </cell>
          <cell r="B284">
            <v>246</v>
          </cell>
          <cell r="C284" t="str">
            <v xml:space="preserve">Kait Angin Sendok alumunium </v>
          </cell>
          <cell r="D284" t="str">
            <v>ps</v>
          </cell>
          <cell r="E284">
            <v>53600</v>
          </cell>
        </row>
        <row r="285">
          <cell r="A285" t="str">
            <v>BP44</v>
          </cell>
          <cell r="B285">
            <v>247</v>
          </cell>
          <cell r="C285" t="str">
            <v xml:space="preserve">Karet Asisoris Kusen / Pintu Alumunium </v>
          </cell>
          <cell r="D285" t="str">
            <v>m1</v>
          </cell>
          <cell r="E285">
            <v>3000</v>
          </cell>
        </row>
        <row r="286">
          <cell r="A286" t="str">
            <v>BP45</v>
          </cell>
          <cell r="B286">
            <v>248</v>
          </cell>
          <cell r="C286" t="str">
            <v>Seng Plat BJLS 30 dia. 60 cm  ( 100 m1 )</v>
          </cell>
          <cell r="D286" t="str">
            <v>rool</v>
          </cell>
          <cell r="E286">
            <v>756100</v>
          </cell>
        </row>
        <row r="287">
          <cell r="A287" t="str">
            <v>BP46</v>
          </cell>
          <cell r="B287">
            <v>249</v>
          </cell>
          <cell r="C287" t="str">
            <v>Seng Plat BJLS 30 dia. 90 cm ( 100 m1 )</v>
          </cell>
          <cell r="D287" t="str">
            <v>rool</v>
          </cell>
          <cell r="E287">
            <v>1092000</v>
          </cell>
        </row>
        <row r="288">
          <cell r="A288" t="str">
            <v>BP47</v>
          </cell>
          <cell r="B288">
            <v>250</v>
          </cell>
          <cell r="C288" t="str">
            <v>Plat Besi Tipis 1 mm</v>
          </cell>
          <cell r="D288" t="str">
            <v>kg</v>
          </cell>
          <cell r="E288">
            <v>6400</v>
          </cell>
        </row>
        <row r="291">
          <cell r="A291" t="str">
            <v>BP48</v>
          </cell>
          <cell r="B291">
            <v>251</v>
          </cell>
          <cell r="C291" t="str">
            <v>Plat Besi Tipis 0.5 mm</v>
          </cell>
          <cell r="D291" t="str">
            <v>kg</v>
          </cell>
          <cell r="E291">
            <v>6900</v>
          </cell>
        </row>
        <row r="292">
          <cell r="A292" t="str">
            <v>BP49</v>
          </cell>
          <cell r="B292">
            <v>252</v>
          </cell>
          <cell r="C292" t="str">
            <v xml:space="preserve">Plat Besi 2 mm s/d 5 mm </v>
          </cell>
          <cell r="D292" t="str">
            <v>kg</v>
          </cell>
          <cell r="E292">
            <v>5300</v>
          </cell>
        </row>
        <row r="293">
          <cell r="A293" t="str">
            <v>BP50</v>
          </cell>
          <cell r="B293">
            <v>253</v>
          </cell>
          <cell r="C293" t="str">
            <v xml:space="preserve">Plat Besi 6 mm s/d 10 mm </v>
          </cell>
          <cell r="D293" t="str">
            <v>kg</v>
          </cell>
          <cell r="E293">
            <v>5300</v>
          </cell>
        </row>
        <row r="294">
          <cell r="A294" t="str">
            <v>BP51</v>
          </cell>
          <cell r="B294">
            <v>254</v>
          </cell>
          <cell r="C294" t="str">
            <v>Plat Besi 10 mm Ke atas</v>
          </cell>
          <cell r="D294" t="str">
            <v>kg</v>
          </cell>
          <cell r="E294">
            <v>5300</v>
          </cell>
        </row>
        <row r="295">
          <cell r="A295" t="str">
            <v>BP52</v>
          </cell>
          <cell r="B295">
            <v>255</v>
          </cell>
          <cell r="C295" t="str">
            <v>Lem Kuning (aibond)</v>
          </cell>
          <cell r="D295" t="str">
            <v>kg</v>
          </cell>
          <cell r="E295">
            <v>9700</v>
          </cell>
        </row>
        <row r="296">
          <cell r="A296" t="str">
            <v>BP53</v>
          </cell>
          <cell r="B296">
            <v>256</v>
          </cell>
          <cell r="C296" t="str">
            <v>Lem Fox</v>
          </cell>
          <cell r="D296" t="str">
            <v>kg</v>
          </cell>
          <cell r="E296">
            <v>7300</v>
          </cell>
        </row>
        <row r="298">
          <cell r="C298" t="str">
            <v>I.  BAHAN  KACA</v>
          </cell>
        </row>
        <row r="299">
          <cell r="A299" t="str">
            <v>BR01</v>
          </cell>
          <cell r="B299">
            <v>257</v>
          </cell>
          <cell r="C299" t="str">
            <v>Kaca Polos 2 mm ( ASAHI )</v>
          </cell>
          <cell r="D299" t="str">
            <v>m²</v>
          </cell>
          <cell r="E299">
            <v>21000</v>
          </cell>
        </row>
        <row r="300">
          <cell r="A300" t="str">
            <v>BR02</v>
          </cell>
          <cell r="B300">
            <v>258</v>
          </cell>
          <cell r="C300" t="str">
            <v>Kaca Polos 3 mm ( ASAHI )</v>
          </cell>
          <cell r="D300" t="str">
            <v>m²</v>
          </cell>
          <cell r="E300">
            <v>30500</v>
          </cell>
        </row>
        <row r="301">
          <cell r="A301" t="str">
            <v>BR03</v>
          </cell>
          <cell r="B301">
            <v>259</v>
          </cell>
          <cell r="C301" t="str">
            <v>Kaca Polos 5 mm ( ASAHI )</v>
          </cell>
          <cell r="D301" t="str">
            <v>m²</v>
          </cell>
          <cell r="E301">
            <v>45000</v>
          </cell>
        </row>
        <row r="302">
          <cell r="A302" t="str">
            <v>BR04</v>
          </cell>
          <cell r="B302">
            <v>260</v>
          </cell>
          <cell r="C302" t="str">
            <v>Kaca Rayband 5 mm ( ASAHI )</v>
          </cell>
          <cell r="D302" t="str">
            <v>m²</v>
          </cell>
          <cell r="E302">
            <v>54500</v>
          </cell>
        </row>
        <row r="303">
          <cell r="A303" t="str">
            <v>BR05</v>
          </cell>
          <cell r="B303">
            <v>261</v>
          </cell>
          <cell r="C303" t="str">
            <v>Kaca Rayband 8 mm ( ASAHI )</v>
          </cell>
          <cell r="D303" t="str">
            <v>m²</v>
          </cell>
          <cell r="E303">
            <v>169000</v>
          </cell>
        </row>
        <row r="304">
          <cell r="A304" t="str">
            <v>BR06</v>
          </cell>
          <cell r="B304">
            <v>262</v>
          </cell>
          <cell r="C304" t="str">
            <v>Kaca Rayband 12 mm ( ASAHI )</v>
          </cell>
          <cell r="D304" t="str">
            <v>m²</v>
          </cell>
          <cell r="E304">
            <v>277750</v>
          </cell>
        </row>
        <row r="305">
          <cell r="A305" t="str">
            <v>BR07</v>
          </cell>
          <cell r="B305">
            <v>263</v>
          </cell>
          <cell r="C305" t="str">
            <v>Kaca Patri Lokal Terpasang ( ASAHI )</v>
          </cell>
          <cell r="D305" t="str">
            <v>m²</v>
          </cell>
          <cell r="E305">
            <v>664000</v>
          </cell>
        </row>
        <row r="306">
          <cell r="A306" t="str">
            <v>BR08</v>
          </cell>
          <cell r="B306">
            <v>264</v>
          </cell>
          <cell r="C306" t="str">
            <v xml:space="preserve">Kaca Patri EX Luar negeri  terpasang </v>
          </cell>
          <cell r="D306" t="str">
            <v>m²</v>
          </cell>
          <cell r="E306">
            <v>2173500</v>
          </cell>
        </row>
        <row r="307">
          <cell r="A307" t="str">
            <v>BR09</v>
          </cell>
          <cell r="B307">
            <v>265</v>
          </cell>
          <cell r="C307" t="str">
            <v xml:space="preserve">Kaca 6 mm Gravver </v>
          </cell>
          <cell r="D307" t="str">
            <v>m²</v>
          </cell>
          <cell r="E307">
            <v>181000</v>
          </cell>
        </row>
        <row r="308">
          <cell r="A308" t="str">
            <v>BR10</v>
          </cell>
          <cell r="B308">
            <v>266</v>
          </cell>
          <cell r="C308" t="str">
            <v>Glass Block  DN  20 x 20 ( Kedawung )</v>
          </cell>
          <cell r="D308" t="str">
            <v>bh</v>
          </cell>
          <cell r="E308">
            <v>11000</v>
          </cell>
        </row>
        <row r="309">
          <cell r="A309" t="str">
            <v>BR11</v>
          </cell>
          <cell r="B309">
            <v>267</v>
          </cell>
          <cell r="C309" t="str">
            <v>Glass Block  DN  20 x 20 Ex LN</v>
          </cell>
          <cell r="D309" t="str">
            <v>bh</v>
          </cell>
          <cell r="E309">
            <v>42500</v>
          </cell>
        </row>
        <row r="311">
          <cell r="C311" t="str">
            <v>J. BAHAN PAKU DAN MUR BAUT</v>
          </cell>
        </row>
        <row r="312">
          <cell r="A312" t="str">
            <v>BS01</v>
          </cell>
          <cell r="B312">
            <v>268</v>
          </cell>
          <cell r="C312" t="str">
            <v>Paku 1 cm s/d 3 cm</v>
          </cell>
          <cell r="D312" t="str">
            <v>kg</v>
          </cell>
          <cell r="E312">
            <v>6000</v>
          </cell>
        </row>
        <row r="313">
          <cell r="A313" t="str">
            <v>BS02</v>
          </cell>
          <cell r="B313">
            <v>269</v>
          </cell>
          <cell r="C313" t="str">
            <v>Paku 4 cm s/d 7 cm</v>
          </cell>
          <cell r="D313" t="str">
            <v>kg</v>
          </cell>
          <cell r="E313">
            <v>5500</v>
          </cell>
        </row>
        <row r="314">
          <cell r="A314" t="str">
            <v>BS03</v>
          </cell>
          <cell r="B314">
            <v>270</v>
          </cell>
          <cell r="C314" t="str">
            <v>Paku 8 cm s/d 12 cm</v>
          </cell>
          <cell r="D314" t="str">
            <v>kg</v>
          </cell>
          <cell r="E314">
            <v>4750</v>
          </cell>
        </row>
        <row r="315">
          <cell r="A315" t="str">
            <v>BS04</v>
          </cell>
          <cell r="B315">
            <v>271</v>
          </cell>
          <cell r="C315" t="str">
            <v>Paku Beton 2 cm s/d 5 cm</v>
          </cell>
          <cell r="D315" t="str">
            <v>bh</v>
          </cell>
          <cell r="E315">
            <v>1250</v>
          </cell>
        </row>
        <row r="316">
          <cell r="A316" t="str">
            <v>BS05</v>
          </cell>
          <cell r="B316">
            <v>272</v>
          </cell>
          <cell r="C316" t="str">
            <v>Paku Kait Lengkap</v>
          </cell>
          <cell r="D316" t="str">
            <v>bh</v>
          </cell>
          <cell r="E316">
            <v>250</v>
          </cell>
        </row>
        <row r="317">
          <cell r="A317" t="str">
            <v>BS06</v>
          </cell>
          <cell r="B317">
            <v>273</v>
          </cell>
          <cell r="C317" t="str">
            <v>Paku Cacing</v>
          </cell>
          <cell r="D317" t="str">
            <v>kg</v>
          </cell>
          <cell r="E317">
            <v>15500</v>
          </cell>
        </row>
        <row r="318">
          <cell r="A318" t="str">
            <v>BS07</v>
          </cell>
          <cell r="B318">
            <v>274</v>
          </cell>
          <cell r="C318" t="str">
            <v>Besi Beugel kuda - kuda</v>
          </cell>
          <cell r="D318" t="str">
            <v>kg</v>
          </cell>
          <cell r="E318">
            <v>5750</v>
          </cell>
        </row>
        <row r="319">
          <cell r="A319" t="str">
            <v>BS08</v>
          </cell>
          <cell r="B319">
            <v>275</v>
          </cell>
          <cell r="C319" t="str">
            <v>Duk Angker</v>
          </cell>
          <cell r="D319" t="str">
            <v>bh</v>
          </cell>
          <cell r="E319">
            <v>1500</v>
          </cell>
        </row>
        <row r="320">
          <cell r="A320" t="str">
            <v>BS09</v>
          </cell>
          <cell r="B320">
            <v>276</v>
          </cell>
          <cell r="C320" t="str">
            <v>Angker Mur Baut dia.19 / panjang 60 cm</v>
          </cell>
          <cell r="D320" t="str">
            <v>bh</v>
          </cell>
          <cell r="E320">
            <v>26000</v>
          </cell>
        </row>
        <row r="321">
          <cell r="A321" t="str">
            <v>BS10</v>
          </cell>
          <cell r="B321">
            <v>277</v>
          </cell>
          <cell r="C321" t="str">
            <v>Mur Baut HTB dia. 19 s/d 16 (5 cm)</v>
          </cell>
          <cell r="D321" t="str">
            <v>bh</v>
          </cell>
          <cell r="E321">
            <v>4750</v>
          </cell>
        </row>
        <row r="322">
          <cell r="A322" t="str">
            <v>BS11</v>
          </cell>
          <cell r="B322">
            <v>278</v>
          </cell>
          <cell r="C322" t="str">
            <v>Mur Baut Biasa dia.19 s/d 16 (5 cm)</v>
          </cell>
          <cell r="D322" t="str">
            <v>bh</v>
          </cell>
          <cell r="E322">
            <v>2750</v>
          </cell>
        </row>
        <row r="323">
          <cell r="A323" t="str">
            <v>BS12</v>
          </cell>
          <cell r="B323">
            <v>279</v>
          </cell>
          <cell r="C323" t="str">
            <v>Piser dia. 12 s/d 20 cm</v>
          </cell>
          <cell r="D323" t="str">
            <v>bh</v>
          </cell>
          <cell r="E323">
            <v>2250</v>
          </cell>
        </row>
        <row r="325">
          <cell r="C325" t="str">
            <v>K. BAHAN PERPIPAAN</v>
          </cell>
          <cell r="D325" t="str">
            <v>1.²</v>
          </cell>
        </row>
        <row r="326">
          <cell r="A326" t="str">
            <v>BT01</v>
          </cell>
          <cell r="B326">
            <v>280</v>
          </cell>
          <cell r="C326" t="str">
            <v>Besi Pipa untuk Hydrant BSP Ø  1"</v>
          </cell>
          <cell r="D326" t="str">
            <v>bt</v>
          </cell>
          <cell r="E326">
            <v>73250</v>
          </cell>
        </row>
        <row r="327">
          <cell r="A327" t="str">
            <v>BT02</v>
          </cell>
          <cell r="B327">
            <v>281</v>
          </cell>
          <cell r="C327" t="str">
            <v>Besi Pipa untuk Hydrant BSP Ø  1,25"</v>
          </cell>
          <cell r="D327" t="str">
            <v>bt</v>
          </cell>
          <cell r="E327">
            <v>103000</v>
          </cell>
        </row>
        <row r="328">
          <cell r="A328" t="str">
            <v>BT03</v>
          </cell>
          <cell r="B328">
            <v>282</v>
          </cell>
          <cell r="C328" t="str">
            <v>Besi Pipa untuk Hydrant BSP Ø  1,5"</v>
          </cell>
          <cell r="D328" t="str">
            <v>bt</v>
          </cell>
          <cell r="E328">
            <v>114500</v>
          </cell>
        </row>
        <row r="329">
          <cell r="A329" t="str">
            <v>BT04</v>
          </cell>
          <cell r="B329">
            <v>283</v>
          </cell>
          <cell r="C329" t="str">
            <v>Besi Pipa untuk Hydrant BSP Ø 2"</v>
          </cell>
          <cell r="D329" t="str">
            <v>bt</v>
          </cell>
          <cell r="E329">
            <v>161750</v>
          </cell>
        </row>
        <row r="332">
          <cell r="A332" t="str">
            <v>BT05</v>
          </cell>
          <cell r="B332">
            <v>284</v>
          </cell>
          <cell r="C332" t="str">
            <v>Besi Pipa untuk Hydrant BSP Ø 2,5"</v>
          </cell>
          <cell r="D332" t="str">
            <v>bt</v>
          </cell>
          <cell r="E332">
            <v>238000</v>
          </cell>
        </row>
        <row r="333">
          <cell r="A333" t="str">
            <v>BT06</v>
          </cell>
          <cell r="B333">
            <v>285</v>
          </cell>
          <cell r="C333" t="str">
            <v>Besi Pipa untuk Hydrant BSP Ø  3"</v>
          </cell>
          <cell r="D333" t="str">
            <v>bt</v>
          </cell>
          <cell r="E333">
            <v>311250</v>
          </cell>
        </row>
        <row r="334">
          <cell r="A334" t="str">
            <v>BT07</v>
          </cell>
          <cell r="B334">
            <v>286</v>
          </cell>
          <cell r="C334" t="str">
            <v>Besi Pipa untuk Hydrant BSP Ø  4"</v>
          </cell>
          <cell r="D334" t="str">
            <v>bt</v>
          </cell>
          <cell r="E334">
            <v>445750</v>
          </cell>
        </row>
        <row r="335">
          <cell r="A335" t="str">
            <v>BT08</v>
          </cell>
          <cell r="B335">
            <v>287</v>
          </cell>
          <cell r="C335" t="str">
            <v>Besi Pipa untuk Hydrant BSP Ø  6"</v>
          </cell>
          <cell r="D335" t="str">
            <v>bt</v>
          </cell>
          <cell r="E335">
            <v>754000</v>
          </cell>
        </row>
        <row r="336">
          <cell r="A336" t="str">
            <v>BT09</v>
          </cell>
          <cell r="B336">
            <v>288</v>
          </cell>
          <cell r="C336" t="str">
            <v xml:space="preserve">Besi Pipa Hitam Ø 1" t=2 mm </v>
          </cell>
          <cell r="D336" t="str">
            <v>bt</v>
          </cell>
          <cell r="E336">
            <v>47000</v>
          </cell>
        </row>
        <row r="337">
          <cell r="A337" t="str">
            <v>BT10</v>
          </cell>
          <cell r="B337">
            <v>289</v>
          </cell>
          <cell r="C337" t="str">
            <v xml:space="preserve">Besi Pipa Hitam Ø 2" t=2 mm   </v>
          </cell>
          <cell r="D337" t="str">
            <v>bt</v>
          </cell>
          <cell r="E337">
            <v>100000</v>
          </cell>
        </row>
        <row r="338">
          <cell r="A338" t="str">
            <v>BT11</v>
          </cell>
          <cell r="B338">
            <v>290</v>
          </cell>
          <cell r="C338" t="str">
            <v xml:space="preserve">Besi Pipa Hitam Ø 3" t=2 mm </v>
          </cell>
          <cell r="D338" t="str">
            <v>bt</v>
          </cell>
          <cell r="E338">
            <v>185000</v>
          </cell>
        </row>
        <row r="339">
          <cell r="A339" t="str">
            <v>BT12</v>
          </cell>
          <cell r="B339">
            <v>291</v>
          </cell>
          <cell r="C339" t="str">
            <v xml:space="preserve">Besi Pipa Hitam Ø 4" t=2 mm  </v>
          </cell>
          <cell r="D339" t="str">
            <v>bt</v>
          </cell>
          <cell r="E339">
            <v>245000</v>
          </cell>
        </row>
        <row r="340">
          <cell r="A340" t="str">
            <v>BT13</v>
          </cell>
          <cell r="B340">
            <v>292</v>
          </cell>
          <cell r="C340" t="str">
            <v>Besi Pipa Hitam Ø 5" t=2 mm</v>
          </cell>
          <cell r="D340" t="str">
            <v>bt</v>
          </cell>
          <cell r="E340">
            <v>345000</v>
          </cell>
        </row>
        <row r="341">
          <cell r="A341" t="str">
            <v>BT14</v>
          </cell>
          <cell r="B341">
            <v>293</v>
          </cell>
          <cell r="C341" t="str">
            <v>Pipa GIP Medium B Ø 1/2"  ( 6 m1 )</v>
          </cell>
          <cell r="D341" t="str">
            <v>bt</v>
          </cell>
          <cell r="E341">
            <v>47000</v>
          </cell>
        </row>
        <row r="342">
          <cell r="A342" t="str">
            <v>BT15</v>
          </cell>
          <cell r="B342">
            <v>294</v>
          </cell>
          <cell r="C342" t="str">
            <v>Pipa GIP Medium B Ø 3/4"  ( 6 m1 )</v>
          </cell>
          <cell r="D342" t="str">
            <v>bt</v>
          </cell>
          <cell r="E342">
            <v>56000</v>
          </cell>
        </row>
        <row r="343">
          <cell r="A343" t="str">
            <v>BT16</v>
          </cell>
          <cell r="B343">
            <v>295</v>
          </cell>
          <cell r="C343" t="str">
            <v>Pipa GIP Medium B Ø 1"   ( 6 m1 )</v>
          </cell>
          <cell r="D343" t="str">
            <v>bt</v>
          </cell>
          <cell r="E343">
            <v>84000</v>
          </cell>
        </row>
        <row r="344">
          <cell r="A344" t="str">
            <v>BT17</v>
          </cell>
          <cell r="B344">
            <v>296</v>
          </cell>
          <cell r="C344" t="str">
            <v>Pipa GIP Medium B Ø 1 1/4"  ( 6 m1 )</v>
          </cell>
          <cell r="D344" t="str">
            <v>bt</v>
          </cell>
          <cell r="E344">
            <v>120000</v>
          </cell>
        </row>
        <row r="345">
          <cell r="A345" t="str">
            <v>BT18</v>
          </cell>
          <cell r="B345">
            <v>297</v>
          </cell>
          <cell r="C345" t="str">
            <v>Pipa GIP Medium B Ø 1 1/2" ( 6 m1 )</v>
          </cell>
          <cell r="D345" t="str">
            <v>bt</v>
          </cell>
          <cell r="E345">
            <v>133000</v>
          </cell>
        </row>
        <row r="346">
          <cell r="A346" t="str">
            <v>BT19</v>
          </cell>
          <cell r="B346">
            <v>298</v>
          </cell>
          <cell r="C346" t="str">
            <v>Pipa GIP Medium B Ø 1 3/4"( 6 m1 )</v>
          </cell>
          <cell r="D346" t="str">
            <v>bt</v>
          </cell>
          <cell r="E346">
            <v>170000</v>
          </cell>
        </row>
        <row r="347">
          <cell r="A347" t="str">
            <v>BT20</v>
          </cell>
          <cell r="B347">
            <v>299</v>
          </cell>
          <cell r="C347" t="str">
            <v>Pipa GIP Medium B Ø 2"  ( 6 m1 )</v>
          </cell>
          <cell r="D347" t="str">
            <v>bt</v>
          </cell>
          <cell r="E347">
            <v>179000</v>
          </cell>
        </row>
        <row r="348">
          <cell r="A348" t="str">
            <v>BT21</v>
          </cell>
          <cell r="B348">
            <v>300</v>
          </cell>
          <cell r="C348" t="str">
            <v>Pipa GIP Medium B Ø 2 1/2" ( 6 m1 )</v>
          </cell>
          <cell r="D348" t="str">
            <v>bt</v>
          </cell>
          <cell r="E348">
            <v>254000</v>
          </cell>
        </row>
        <row r="349">
          <cell r="A349" t="str">
            <v>BT22</v>
          </cell>
          <cell r="B349">
            <v>301</v>
          </cell>
          <cell r="C349" t="str">
            <v>Pipa GIP Medium B Ø 3"  ( 6 m1 )</v>
          </cell>
          <cell r="D349" t="str">
            <v>bt</v>
          </cell>
          <cell r="E349">
            <v>340000</v>
          </cell>
        </row>
        <row r="350">
          <cell r="A350" t="str">
            <v>BT23</v>
          </cell>
          <cell r="B350">
            <v>302</v>
          </cell>
          <cell r="C350" t="str">
            <v>Pipa GIP Medium B Ø 4"  ( 6 m1 )</v>
          </cell>
          <cell r="D350" t="str">
            <v>bt</v>
          </cell>
          <cell r="E350">
            <v>455000</v>
          </cell>
        </row>
        <row r="351">
          <cell r="A351" t="str">
            <v>BT24</v>
          </cell>
          <cell r="B351">
            <v>303</v>
          </cell>
          <cell r="C351" t="str">
            <v>Macam2 Sambungan GIP Ø 1/2"</v>
          </cell>
          <cell r="D351" t="str">
            <v>bh</v>
          </cell>
          <cell r="E351">
            <v>2900</v>
          </cell>
        </row>
        <row r="352">
          <cell r="A352" t="str">
            <v>BT25</v>
          </cell>
          <cell r="B352">
            <v>304</v>
          </cell>
          <cell r="C352" t="str">
            <v>Macam2 Sambungan GIP Ø 3/4"</v>
          </cell>
          <cell r="D352" t="str">
            <v>bh</v>
          </cell>
          <cell r="E352">
            <v>3500</v>
          </cell>
        </row>
        <row r="353">
          <cell r="A353" t="str">
            <v>BT26</v>
          </cell>
          <cell r="B353">
            <v>305</v>
          </cell>
          <cell r="C353" t="str">
            <v>Macam2 Sambungan GIP Ø 1"</v>
          </cell>
          <cell r="D353" t="str">
            <v>bh</v>
          </cell>
          <cell r="E353">
            <v>5750</v>
          </cell>
        </row>
        <row r="354">
          <cell r="A354" t="str">
            <v>BT27</v>
          </cell>
          <cell r="B354">
            <v>306</v>
          </cell>
          <cell r="C354" t="str">
            <v>Macam2 Sambungan GIP Ø 1 1/4"</v>
          </cell>
          <cell r="D354" t="str">
            <v>bh</v>
          </cell>
          <cell r="E354">
            <v>8750</v>
          </cell>
        </row>
        <row r="355">
          <cell r="A355" t="str">
            <v>BT28</v>
          </cell>
          <cell r="B355">
            <v>307</v>
          </cell>
          <cell r="C355" t="str">
            <v>Macam2 Sambungan GIP Ø 11/2"</v>
          </cell>
          <cell r="D355" t="str">
            <v>bh</v>
          </cell>
          <cell r="E355">
            <v>9750</v>
          </cell>
        </row>
        <row r="356">
          <cell r="A356" t="str">
            <v>BT29</v>
          </cell>
          <cell r="B356">
            <v>308</v>
          </cell>
          <cell r="C356" t="str">
            <v>Macam2 Sambungan GIP Ø 13/4"</v>
          </cell>
          <cell r="D356" t="str">
            <v>bh</v>
          </cell>
          <cell r="E356">
            <v>12000</v>
          </cell>
        </row>
        <row r="357">
          <cell r="A357" t="str">
            <v>BT30</v>
          </cell>
          <cell r="B357">
            <v>309</v>
          </cell>
          <cell r="C357" t="str">
            <v>Macam2 Sambungan GIP Ø 2"</v>
          </cell>
          <cell r="D357" t="str">
            <v>bh</v>
          </cell>
          <cell r="E357">
            <v>20000</v>
          </cell>
        </row>
        <row r="358">
          <cell r="A358" t="str">
            <v>BT31</v>
          </cell>
          <cell r="B358">
            <v>310</v>
          </cell>
          <cell r="C358" t="str">
            <v>Macam2 Sambungan GIP Ø 2 1/2"</v>
          </cell>
          <cell r="D358" t="str">
            <v>bh</v>
          </cell>
          <cell r="E358">
            <v>25500</v>
          </cell>
        </row>
        <row r="359">
          <cell r="A359" t="str">
            <v>BT32</v>
          </cell>
          <cell r="B359">
            <v>311</v>
          </cell>
          <cell r="C359" t="str">
            <v>Macam2 Sambungan GIP Ø 3"</v>
          </cell>
          <cell r="D359" t="str">
            <v>bh</v>
          </cell>
          <cell r="E359">
            <v>34500</v>
          </cell>
        </row>
        <row r="360">
          <cell r="A360" t="str">
            <v>BT33</v>
          </cell>
          <cell r="B360">
            <v>312</v>
          </cell>
          <cell r="C360" t="str">
            <v>Macam2 Sambungan GIP Ø 4"</v>
          </cell>
          <cell r="D360" t="str">
            <v>bh</v>
          </cell>
          <cell r="E360">
            <v>49500</v>
          </cell>
        </row>
        <row r="361">
          <cell r="A361" t="str">
            <v>BT34</v>
          </cell>
          <cell r="B361">
            <v>313</v>
          </cell>
          <cell r="C361" t="str">
            <v xml:space="preserve">Pipa PVC RUCIKA type AW  Ø 1/2" </v>
          </cell>
          <cell r="D361" t="str">
            <v>bt</v>
          </cell>
          <cell r="E361">
            <v>17500</v>
          </cell>
        </row>
        <row r="362">
          <cell r="A362" t="str">
            <v>BT35</v>
          </cell>
          <cell r="B362">
            <v>314</v>
          </cell>
          <cell r="C362" t="str">
            <v xml:space="preserve">Pipa PVC RUCIKA type AW    Ø 3/4" </v>
          </cell>
          <cell r="D362" t="str">
            <v>bt</v>
          </cell>
          <cell r="E362">
            <v>17750</v>
          </cell>
        </row>
        <row r="363">
          <cell r="A363" t="str">
            <v>BT36</v>
          </cell>
          <cell r="B363">
            <v>315</v>
          </cell>
          <cell r="C363" t="str">
            <v xml:space="preserve">Pipa PVC RUCIKA type AW    Ø 1" </v>
          </cell>
          <cell r="D363" t="str">
            <v>bt</v>
          </cell>
          <cell r="E363">
            <v>22250</v>
          </cell>
        </row>
        <row r="364">
          <cell r="A364" t="str">
            <v>BT37</v>
          </cell>
          <cell r="B364">
            <v>316</v>
          </cell>
          <cell r="C364" t="str">
            <v xml:space="preserve">Pipa PVC RUCIKA type AW    Ø 1 1/4" </v>
          </cell>
          <cell r="D364" t="str">
            <v>bt</v>
          </cell>
          <cell r="E364">
            <v>47500</v>
          </cell>
        </row>
        <row r="365">
          <cell r="A365" t="str">
            <v>BT38</v>
          </cell>
          <cell r="B365">
            <v>317</v>
          </cell>
          <cell r="C365" t="str">
            <v xml:space="preserve">Pipa PVC RUCIKA type AW    Ø 1 1/2" </v>
          </cell>
          <cell r="D365" t="str">
            <v>bt</v>
          </cell>
          <cell r="E365">
            <v>45750</v>
          </cell>
        </row>
        <row r="366">
          <cell r="A366" t="str">
            <v>BT39</v>
          </cell>
          <cell r="B366">
            <v>318</v>
          </cell>
          <cell r="C366" t="str">
            <v xml:space="preserve">Pipa PVC RUCIKA type AW    Ø 2" </v>
          </cell>
          <cell r="D366" t="str">
            <v>bt</v>
          </cell>
          <cell r="E366">
            <v>70250</v>
          </cell>
        </row>
        <row r="367">
          <cell r="A367" t="str">
            <v>BT40</v>
          </cell>
          <cell r="B367">
            <v>319</v>
          </cell>
          <cell r="C367" t="str">
            <v xml:space="preserve">Pipa PVC RUCIKA type AW    Ø 2 1/2" </v>
          </cell>
          <cell r="D367" t="str">
            <v>bt</v>
          </cell>
          <cell r="E367">
            <v>91250</v>
          </cell>
        </row>
        <row r="368">
          <cell r="A368" t="str">
            <v>BT41</v>
          </cell>
          <cell r="B368">
            <v>320</v>
          </cell>
          <cell r="C368" t="str">
            <v xml:space="preserve">Pipa PVC RUCIKA type AW    Ø 3" </v>
          </cell>
          <cell r="D368" t="str">
            <v>bt</v>
          </cell>
          <cell r="E368">
            <v>131500</v>
          </cell>
        </row>
        <row r="369">
          <cell r="A369" t="str">
            <v>BT42</v>
          </cell>
          <cell r="B369">
            <v>321</v>
          </cell>
          <cell r="C369" t="str">
            <v xml:space="preserve">Pipa PVC RUCIKA type AW    Ø 4" </v>
          </cell>
          <cell r="D369" t="str">
            <v>bt</v>
          </cell>
          <cell r="E369">
            <v>196250</v>
          </cell>
        </row>
        <row r="370">
          <cell r="A370" t="str">
            <v>BT43</v>
          </cell>
          <cell r="B370">
            <v>322</v>
          </cell>
          <cell r="C370" t="str">
            <v xml:space="preserve">Pipa PVC RUCIKA type AW    Ø 6" </v>
          </cell>
          <cell r="D370" t="str">
            <v>bt</v>
          </cell>
          <cell r="E370">
            <v>418000</v>
          </cell>
        </row>
        <row r="373">
          <cell r="A373" t="str">
            <v>BT44</v>
          </cell>
          <cell r="B373">
            <v>323</v>
          </cell>
          <cell r="C373" t="str">
            <v xml:space="preserve">Pipa PVC RUCIKA type AW    Ø 8" </v>
          </cell>
          <cell r="D373" t="str">
            <v>bt</v>
          </cell>
          <cell r="E373">
            <v>620000</v>
          </cell>
        </row>
        <row r="374">
          <cell r="A374" t="str">
            <v>BT45</v>
          </cell>
          <cell r="B374">
            <v>324</v>
          </cell>
          <cell r="C374" t="str">
            <v>Pipa PVC  MASPION ABU Ø 1/2" (AW)</v>
          </cell>
          <cell r="D374" t="str">
            <v>bt</v>
          </cell>
          <cell r="E374">
            <v>10000</v>
          </cell>
        </row>
        <row r="375">
          <cell r="A375" t="str">
            <v>BT46</v>
          </cell>
          <cell r="B375">
            <v>325</v>
          </cell>
          <cell r="C375" t="str">
            <v>Pipa PVC  MASPION ABU Ø 3/4" (AW)</v>
          </cell>
          <cell r="D375" t="str">
            <v>bt</v>
          </cell>
          <cell r="E375">
            <v>13000</v>
          </cell>
        </row>
        <row r="376">
          <cell r="A376" t="str">
            <v>BT47</v>
          </cell>
          <cell r="B376">
            <v>326</v>
          </cell>
          <cell r="C376" t="str">
            <v>Pipa PVC  MASPION ABU Ø 1" (AW)</v>
          </cell>
          <cell r="D376" t="str">
            <v>bt</v>
          </cell>
          <cell r="E376">
            <v>15000</v>
          </cell>
        </row>
        <row r="377">
          <cell r="A377" t="str">
            <v>BT48</v>
          </cell>
          <cell r="B377">
            <v>327</v>
          </cell>
          <cell r="C377" t="str">
            <v>Pipa PVC  MASPION ABU Ø 1 1/4" (AW)</v>
          </cell>
          <cell r="D377" t="str">
            <v>bt</v>
          </cell>
          <cell r="E377">
            <v>30000</v>
          </cell>
        </row>
        <row r="378">
          <cell r="A378" t="str">
            <v>BT49</v>
          </cell>
          <cell r="B378">
            <v>328</v>
          </cell>
          <cell r="C378" t="str">
            <v>Pipa PVC  MASPION ABU Ø 1 1/2" (AW)</v>
          </cell>
          <cell r="D378" t="str">
            <v>bt</v>
          </cell>
          <cell r="E378">
            <v>29000</v>
          </cell>
        </row>
        <row r="379">
          <cell r="A379" t="str">
            <v>BT50</v>
          </cell>
          <cell r="B379">
            <v>329</v>
          </cell>
          <cell r="C379" t="str">
            <v>Pipa PVC  MASPION ABU Ø 2" (AW)</v>
          </cell>
          <cell r="D379" t="str">
            <v>bt</v>
          </cell>
          <cell r="E379">
            <v>43000</v>
          </cell>
        </row>
        <row r="380">
          <cell r="A380" t="str">
            <v>BT51</v>
          </cell>
          <cell r="B380">
            <v>330</v>
          </cell>
          <cell r="C380" t="str">
            <v>Pipa PVC  MASPION ABU Ø 2 1/2" (AW)</v>
          </cell>
          <cell r="D380" t="str">
            <v>bt</v>
          </cell>
          <cell r="E380">
            <v>50000</v>
          </cell>
        </row>
        <row r="381">
          <cell r="A381" t="str">
            <v>BT52</v>
          </cell>
          <cell r="B381">
            <v>331</v>
          </cell>
          <cell r="C381" t="str">
            <v>Pipa PVC  MASPION ABU Ø 3" (AW)</v>
          </cell>
          <cell r="D381" t="str">
            <v>bt</v>
          </cell>
          <cell r="E381">
            <v>73000</v>
          </cell>
        </row>
        <row r="382">
          <cell r="A382" t="str">
            <v>BT53</v>
          </cell>
          <cell r="B382">
            <v>332</v>
          </cell>
          <cell r="C382" t="str">
            <v>Pipa PVC  MASPION ABU Ø 4" (AW)</v>
          </cell>
          <cell r="D382" t="str">
            <v>bt</v>
          </cell>
          <cell r="E382">
            <v>110000</v>
          </cell>
        </row>
        <row r="383">
          <cell r="A383" t="str">
            <v>BT54</v>
          </cell>
          <cell r="B383">
            <v>333</v>
          </cell>
          <cell r="C383" t="str">
            <v>Macam2 Sambungan Paralon Ø 1/2"</v>
          </cell>
          <cell r="D383" t="str">
            <v>bh</v>
          </cell>
          <cell r="E383">
            <v>1000</v>
          </cell>
        </row>
        <row r="384">
          <cell r="A384" t="str">
            <v>BT55</v>
          </cell>
          <cell r="B384">
            <v>334</v>
          </cell>
          <cell r="C384" t="str">
            <v>Macam2 Sambungan Paralon Ø 3/4"</v>
          </cell>
          <cell r="D384" t="str">
            <v>bh</v>
          </cell>
          <cell r="E384">
            <v>1250</v>
          </cell>
        </row>
        <row r="385">
          <cell r="A385" t="str">
            <v>BT56</v>
          </cell>
          <cell r="B385">
            <v>335</v>
          </cell>
          <cell r="C385" t="str">
            <v>Macam2 Sambungan Paralon Ø 1"</v>
          </cell>
          <cell r="D385" t="str">
            <v>bh</v>
          </cell>
          <cell r="E385">
            <v>1500</v>
          </cell>
        </row>
        <row r="386">
          <cell r="A386" t="str">
            <v>BT57</v>
          </cell>
          <cell r="B386">
            <v>336</v>
          </cell>
          <cell r="C386" t="str">
            <v>Macam2 Sambungan Paralon Ø 1 1/4"</v>
          </cell>
          <cell r="D386" t="str">
            <v>bh</v>
          </cell>
          <cell r="E386">
            <v>3500</v>
          </cell>
        </row>
        <row r="387">
          <cell r="A387" t="str">
            <v>BT58</v>
          </cell>
          <cell r="B387">
            <v>337</v>
          </cell>
          <cell r="C387" t="str">
            <v>Macam2 Sambungan Paralon Ø 1 1/2"</v>
          </cell>
          <cell r="D387" t="str">
            <v>bh</v>
          </cell>
          <cell r="E387">
            <v>3500</v>
          </cell>
        </row>
        <row r="388">
          <cell r="A388" t="str">
            <v>BT59</v>
          </cell>
          <cell r="B388">
            <v>338</v>
          </cell>
          <cell r="C388" t="str">
            <v>Macam2 Sambungan Paralon Ø 1 3/4"</v>
          </cell>
          <cell r="D388" t="str">
            <v>bh</v>
          </cell>
          <cell r="E388">
            <v>4000</v>
          </cell>
        </row>
        <row r="389">
          <cell r="A389" t="str">
            <v>BT60</v>
          </cell>
          <cell r="B389">
            <v>339</v>
          </cell>
          <cell r="C389" t="str">
            <v>Macam2 Sambungan Paralon Ø 2"</v>
          </cell>
          <cell r="D389" t="str">
            <v>bh</v>
          </cell>
          <cell r="E389">
            <v>7000</v>
          </cell>
        </row>
        <row r="390">
          <cell r="A390" t="str">
            <v>BT61</v>
          </cell>
          <cell r="B390">
            <v>340</v>
          </cell>
          <cell r="C390" t="str">
            <v>Macam2 Samb. Paralon Ø 2 1/2"</v>
          </cell>
          <cell r="D390" t="str">
            <v>bh</v>
          </cell>
          <cell r="E390">
            <v>10500</v>
          </cell>
        </row>
        <row r="391">
          <cell r="A391" t="str">
            <v>BT62</v>
          </cell>
          <cell r="B391">
            <v>341</v>
          </cell>
          <cell r="C391" t="str">
            <v>Macam2 Samb. Paralon Ø 3"</v>
          </cell>
          <cell r="D391" t="str">
            <v>bh</v>
          </cell>
          <cell r="E391">
            <v>22000</v>
          </cell>
        </row>
        <row r="392">
          <cell r="A392" t="str">
            <v>BT63</v>
          </cell>
          <cell r="B392">
            <v>342</v>
          </cell>
          <cell r="C392" t="str">
            <v>Macam2 Samb. Paralon Ø 4"</v>
          </cell>
          <cell r="D392" t="str">
            <v>bh</v>
          </cell>
          <cell r="E392">
            <v>29000</v>
          </cell>
        </row>
        <row r="393">
          <cell r="A393" t="str">
            <v>BT64</v>
          </cell>
          <cell r="B393">
            <v>343</v>
          </cell>
          <cell r="C393" t="str">
            <v>Sambungan Pipa PVC Jenis AW 4 " TY</v>
          </cell>
          <cell r="D393" t="str">
            <v>bh</v>
          </cell>
          <cell r="E393">
            <v>47000</v>
          </cell>
        </row>
        <row r="394">
          <cell r="A394" t="str">
            <v>BT65</v>
          </cell>
          <cell r="B394">
            <v>344</v>
          </cell>
          <cell r="C394" t="str">
            <v>Lem Paralon</v>
          </cell>
          <cell r="D394" t="str">
            <v>tb</v>
          </cell>
          <cell r="E394">
            <v>3000</v>
          </cell>
        </row>
        <row r="395">
          <cell r="A395" t="str">
            <v>BT66</v>
          </cell>
          <cell r="B395">
            <v>345</v>
          </cell>
          <cell r="C395" t="str">
            <v>Solatip Leideng</v>
          </cell>
          <cell r="D395" t="str">
            <v>gl</v>
          </cell>
          <cell r="E395">
            <v>1750</v>
          </cell>
        </row>
        <row r="396">
          <cell r="A396" t="str">
            <v>BT67</v>
          </cell>
          <cell r="B396">
            <v>346</v>
          </cell>
          <cell r="C396" t="str">
            <v>Pipa PVC 4" berlobang jenis AW</v>
          </cell>
          <cell r="D396" t="str">
            <v>m1</v>
          </cell>
          <cell r="E396">
            <v>17000</v>
          </cell>
        </row>
        <row r="398">
          <cell r="C398" t="str">
            <v>L. BAHAN SANITAIR</v>
          </cell>
        </row>
        <row r="399">
          <cell r="A399" t="str">
            <v>BV01</v>
          </cell>
          <cell r="B399">
            <v>347</v>
          </cell>
          <cell r="C399" t="str">
            <v>Stop Kran 3/4 " KIT</v>
          </cell>
          <cell r="D399" t="str">
            <v>bh</v>
          </cell>
          <cell r="E399">
            <v>71000</v>
          </cell>
        </row>
        <row r="400">
          <cell r="A400" t="str">
            <v>BV02</v>
          </cell>
          <cell r="B400">
            <v>348</v>
          </cell>
          <cell r="C400" t="str">
            <v>Stop Kran 1 " KIT</v>
          </cell>
          <cell r="D400" t="str">
            <v>bh</v>
          </cell>
          <cell r="E400">
            <v>105000</v>
          </cell>
        </row>
        <row r="401">
          <cell r="A401" t="str">
            <v>BV03</v>
          </cell>
          <cell r="B401">
            <v>349</v>
          </cell>
          <cell r="C401" t="str">
            <v>Stop Kran 1 1/2 " KIT</v>
          </cell>
          <cell r="D401" t="str">
            <v>bh</v>
          </cell>
          <cell r="E401">
            <v>200000</v>
          </cell>
        </row>
        <row r="402">
          <cell r="A402" t="str">
            <v>BV04</v>
          </cell>
          <cell r="B402">
            <v>350</v>
          </cell>
          <cell r="C402" t="str">
            <v>Stop Kran 2 " KIT</v>
          </cell>
          <cell r="D402" t="str">
            <v>bh</v>
          </cell>
          <cell r="E402">
            <v>295000</v>
          </cell>
        </row>
        <row r="403">
          <cell r="A403" t="str">
            <v>BV05</v>
          </cell>
          <cell r="B403">
            <v>351</v>
          </cell>
          <cell r="C403" t="str">
            <v>Stop Kran 2 1/2" KIT</v>
          </cell>
          <cell r="D403" t="str">
            <v>bh</v>
          </cell>
          <cell r="E403">
            <v>383000</v>
          </cell>
        </row>
        <row r="404">
          <cell r="A404" t="str">
            <v>BV06</v>
          </cell>
          <cell r="B404">
            <v>352</v>
          </cell>
          <cell r="C404" t="str">
            <v>Stop Kran 3 " KIT</v>
          </cell>
          <cell r="D404" t="str">
            <v>bh</v>
          </cell>
          <cell r="E404">
            <v>459000</v>
          </cell>
        </row>
        <row r="405">
          <cell r="A405" t="str">
            <v>BV07</v>
          </cell>
          <cell r="B405">
            <v>353</v>
          </cell>
          <cell r="C405" t="str">
            <v>Check Valve 1/2 "</v>
          </cell>
          <cell r="D405" t="str">
            <v>bh</v>
          </cell>
          <cell r="E405">
            <v>71000</v>
          </cell>
        </row>
        <row r="406">
          <cell r="A406" t="str">
            <v>BV08</v>
          </cell>
          <cell r="B406">
            <v>354</v>
          </cell>
          <cell r="C406" t="str">
            <v>Double Neple 1/2 "</v>
          </cell>
          <cell r="D406" t="str">
            <v>bh</v>
          </cell>
          <cell r="E406">
            <v>22000</v>
          </cell>
        </row>
        <row r="407">
          <cell r="A407" t="str">
            <v>BV09</v>
          </cell>
          <cell r="B407">
            <v>355</v>
          </cell>
          <cell r="C407" t="str">
            <v>Water Mur 1/2 "</v>
          </cell>
          <cell r="D407" t="str">
            <v>bh</v>
          </cell>
          <cell r="E407">
            <v>22000</v>
          </cell>
        </row>
        <row r="408">
          <cell r="A408" t="str">
            <v>BV10</v>
          </cell>
          <cell r="B408">
            <v>356</v>
          </cell>
          <cell r="C408" t="str">
            <v>Gate Walve 1/2 "</v>
          </cell>
          <cell r="D408" t="str">
            <v>bh</v>
          </cell>
          <cell r="E408">
            <v>28000</v>
          </cell>
        </row>
        <row r="409">
          <cell r="A409" t="str">
            <v>BV11</v>
          </cell>
          <cell r="B409">
            <v>357</v>
          </cell>
          <cell r="C409" t="str">
            <v xml:space="preserve">Saringan Air Lt KM Stainless Steel </v>
          </cell>
          <cell r="D409" t="str">
            <v>bh</v>
          </cell>
          <cell r="E409">
            <v>28000</v>
          </cell>
        </row>
        <row r="410">
          <cell r="A410" t="str">
            <v>BV12</v>
          </cell>
          <cell r="B410">
            <v>358</v>
          </cell>
          <cell r="C410" t="str">
            <v>Apooer Bath Tube</v>
          </cell>
          <cell r="D410" t="str">
            <v>bh</v>
          </cell>
          <cell r="E410">
            <v>137000</v>
          </cell>
        </row>
        <row r="411">
          <cell r="A411" t="str">
            <v>BV13</v>
          </cell>
          <cell r="B411">
            <v>359</v>
          </cell>
          <cell r="C411" t="str">
            <v>Kran stain less Lokal Kait</v>
          </cell>
          <cell r="D411" t="str">
            <v>bh</v>
          </cell>
          <cell r="E411">
            <v>24000</v>
          </cell>
        </row>
        <row r="414">
          <cell r="A414" t="str">
            <v>BV14</v>
          </cell>
          <cell r="B414">
            <v>360</v>
          </cell>
          <cell r="C414" t="str">
            <v xml:space="preserve">Shower Dengan Tiang </v>
          </cell>
          <cell r="D414" t="str">
            <v>bh</v>
          </cell>
          <cell r="E414">
            <v>466000</v>
          </cell>
        </row>
        <row r="415">
          <cell r="A415" t="str">
            <v>BV15</v>
          </cell>
          <cell r="B415">
            <v>361</v>
          </cell>
          <cell r="C415" t="str">
            <v xml:space="preserve">Shower Tanpa Tiang </v>
          </cell>
          <cell r="D415" t="str">
            <v>bh</v>
          </cell>
          <cell r="E415">
            <v>138000</v>
          </cell>
        </row>
        <row r="416">
          <cell r="A416" t="str">
            <v>BV16</v>
          </cell>
          <cell r="B416">
            <v>362</v>
          </cell>
          <cell r="C416" t="str">
            <v xml:space="preserve">Kran Tembok Sun Eui  dia. 1/2 " </v>
          </cell>
          <cell r="D416" t="str">
            <v>bh</v>
          </cell>
          <cell r="E416">
            <v>40000</v>
          </cell>
        </row>
        <row r="417">
          <cell r="A417" t="str">
            <v>BV17</v>
          </cell>
          <cell r="B417">
            <v>363</v>
          </cell>
          <cell r="C417" t="str">
            <v xml:space="preserve">Kran Tembok ITAP dia. 1/2 " </v>
          </cell>
          <cell r="D417" t="str">
            <v>bh</v>
          </cell>
          <cell r="E417">
            <v>29000</v>
          </cell>
        </row>
        <row r="418">
          <cell r="A418" t="str">
            <v>BV18</v>
          </cell>
          <cell r="B418">
            <v>364</v>
          </cell>
          <cell r="C418" t="str">
            <v xml:space="preserve">Kran Bebek Sun Eui 1/2 " </v>
          </cell>
          <cell r="D418" t="str">
            <v>bh</v>
          </cell>
          <cell r="E418">
            <v>114000</v>
          </cell>
        </row>
        <row r="419">
          <cell r="A419" t="str">
            <v>BV19</v>
          </cell>
          <cell r="B419">
            <v>365</v>
          </cell>
          <cell r="C419" t="str">
            <v>Kran Bebek ITAP 1/2 "</v>
          </cell>
          <cell r="D419" t="str">
            <v>bh</v>
          </cell>
          <cell r="E419">
            <v>62000</v>
          </cell>
        </row>
        <row r="420">
          <cell r="A420" t="str">
            <v>BV20</v>
          </cell>
          <cell r="B420">
            <v>366</v>
          </cell>
          <cell r="C420" t="str">
            <v>Kran Panas Dingin San Eui  Standard</v>
          </cell>
          <cell r="D420" t="str">
            <v>bh</v>
          </cell>
          <cell r="E420">
            <v>295000</v>
          </cell>
        </row>
        <row r="421">
          <cell r="A421" t="str">
            <v>BV21</v>
          </cell>
          <cell r="B421">
            <v>367</v>
          </cell>
          <cell r="C421" t="str">
            <v xml:space="preserve">Bath Cape  Washteren </v>
          </cell>
          <cell r="D421" t="str">
            <v>unit</v>
          </cell>
          <cell r="E421">
            <v>1140000</v>
          </cell>
        </row>
        <row r="422">
          <cell r="A422" t="str">
            <v>BV22</v>
          </cell>
          <cell r="B422">
            <v>368</v>
          </cell>
          <cell r="C422" t="str">
            <v>Tempat Sabun Poslin</v>
          </cell>
          <cell r="D422" t="str">
            <v>bh</v>
          </cell>
          <cell r="E422">
            <v>24000</v>
          </cell>
        </row>
        <row r="423">
          <cell r="A423" t="str">
            <v>BV23</v>
          </cell>
          <cell r="B423">
            <v>369</v>
          </cell>
          <cell r="C423" t="str">
            <v xml:space="preserve">Wastafel Lengkap TOTO LW 230 </v>
          </cell>
          <cell r="D423" t="str">
            <v>unit</v>
          </cell>
          <cell r="E423">
            <v>546000</v>
          </cell>
        </row>
        <row r="424">
          <cell r="A424" t="str">
            <v>BV24</v>
          </cell>
          <cell r="B424">
            <v>370</v>
          </cell>
          <cell r="C424" t="str">
            <v>Wastafel Lengkap INA</v>
          </cell>
          <cell r="D424" t="str">
            <v>unit</v>
          </cell>
          <cell r="E424">
            <v>361000</v>
          </cell>
        </row>
        <row r="425">
          <cell r="A425" t="str">
            <v>BV25</v>
          </cell>
          <cell r="B425">
            <v>371</v>
          </cell>
          <cell r="C425" t="str">
            <v>Closet Jongkok Poslin warna  TOTO</v>
          </cell>
          <cell r="D425" t="str">
            <v>unit</v>
          </cell>
          <cell r="E425">
            <v>133000</v>
          </cell>
        </row>
        <row r="426">
          <cell r="A426" t="str">
            <v>BV26</v>
          </cell>
          <cell r="B426">
            <v>372</v>
          </cell>
          <cell r="C426" t="str">
            <v>Closet Jongkok Standard Putih Poslin TOTO</v>
          </cell>
          <cell r="D426" t="str">
            <v>unit</v>
          </cell>
          <cell r="E426">
            <v>86000</v>
          </cell>
        </row>
        <row r="427">
          <cell r="A427" t="str">
            <v>BV27</v>
          </cell>
          <cell r="B427">
            <v>373</v>
          </cell>
          <cell r="C427" t="str">
            <v>Closet Jongkok Lengkap Sistem Jet TOTO</v>
          </cell>
          <cell r="D427" t="str">
            <v>unit</v>
          </cell>
          <cell r="E427">
            <v>1140000</v>
          </cell>
        </row>
        <row r="428">
          <cell r="A428" t="str">
            <v>BV28</v>
          </cell>
          <cell r="B428">
            <v>374</v>
          </cell>
          <cell r="C428" t="str">
            <v>Closet Duduk Warna Standard  TOTO C 240 Lengkap</v>
          </cell>
          <cell r="D428" t="str">
            <v>unit</v>
          </cell>
          <cell r="E428">
            <v>903000</v>
          </cell>
        </row>
        <row r="429">
          <cell r="A429" t="str">
            <v>BV29</v>
          </cell>
          <cell r="B429">
            <v>375</v>
          </cell>
          <cell r="C429" t="str">
            <v>Wastafel Bulat Warna Standard Lengkap</v>
          </cell>
          <cell r="D429" t="str">
            <v>unit</v>
          </cell>
          <cell r="E429">
            <v>618000</v>
          </cell>
        </row>
        <row r="430">
          <cell r="A430" t="str">
            <v>BV30</v>
          </cell>
          <cell r="B430">
            <v>376</v>
          </cell>
          <cell r="C430" t="str">
            <v>Closet Duduk Warna Standard lengkap INA</v>
          </cell>
          <cell r="D430" t="str">
            <v>bh</v>
          </cell>
          <cell r="E430">
            <v>689000</v>
          </cell>
        </row>
        <row r="431">
          <cell r="A431" t="str">
            <v>BV31</v>
          </cell>
          <cell r="B431">
            <v>377</v>
          </cell>
          <cell r="C431" t="str">
            <v xml:space="preserve">Urinoar Lengkap TOTO Warna Standard lengkap </v>
          </cell>
          <cell r="D431" t="str">
            <v>unit</v>
          </cell>
          <cell r="E431">
            <v>931000</v>
          </cell>
        </row>
        <row r="432">
          <cell r="A432" t="str">
            <v>BV32</v>
          </cell>
          <cell r="B432">
            <v>378</v>
          </cell>
          <cell r="C432" t="str">
            <v xml:space="preserve">Penyekat Poslin Urinoar TOTO </v>
          </cell>
          <cell r="D432" t="str">
            <v>lbr</v>
          </cell>
          <cell r="E432">
            <v>252000</v>
          </cell>
        </row>
        <row r="433">
          <cell r="A433" t="str">
            <v>BV33</v>
          </cell>
          <cell r="B433">
            <v>379</v>
          </cell>
          <cell r="C433" t="str">
            <v>Kitchen Zink Stainless Standard Lokal ( 1 Lobang )</v>
          </cell>
          <cell r="D433" t="str">
            <v>bh</v>
          </cell>
          <cell r="E433">
            <v>197000</v>
          </cell>
        </row>
        <row r="434">
          <cell r="A434" t="str">
            <v>BV34</v>
          </cell>
          <cell r="B434">
            <v>380</v>
          </cell>
          <cell r="C434" t="str">
            <v>Kitchen Zink Stainless Non Standard Franke ( 1 Lobang )</v>
          </cell>
          <cell r="D434" t="str">
            <v>bh</v>
          </cell>
          <cell r="E434">
            <v>603000</v>
          </cell>
        </row>
        <row r="435">
          <cell r="A435" t="str">
            <v>BV35</v>
          </cell>
          <cell r="B435">
            <v>381</v>
          </cell>
          <cell r="C435" t="str">
            <v>Kitchen Zink Stainless Non Standard Franke ( 2 Lobang )</v>
          </cell>
          <cell r="D435" t="str">
            <v>bh</v>
          </cell>
          <cell r="E435">
            <v>903000</v>
          </cell>
        </row>
        <row r="437">
          <cell r="C437" t="str">
            <v>M. BAHAN PENUTUP ATAP</v>
          </cell>
        </row>
        <row r="438">
          <cell r="A438" t="str">
            <v>BX01</v>
          </cell>
          <cell r="B438">
            <v>382</v>
          </cell>
          <cell r="C438" t="str">
            <v>Atap Plastik Gelombang 80 x 180</v>
          </cell>
          <cell r="D438" t="str">
            <v>lbr</v>
          </cell>
          <cell r="E438">
            <v>10750</v>
          </cell>
        </row>
        <row r="439">
          <cell r="A439" t="str">
            <v>BX02</v>
          </cell>
          <cell r="B439">
            <v>383</v>
          </cell>
          <cell r="C439" t="str">
            <v>Atap Fiber Glass Tipis 80 x 180 (gelombang)</v>
          </cell>
          <cell r="D439" t="str">
            <v>lbr</v>
          </cell>
          <cell r="E439">
            <v>19500</v>
          </cell>
        </row>
        <row r="440">
          <cell r="A440" t="str">
            <v>BX03</v>
          </cell>
          <cell r="B440">
            <v>384</v>
          </cell>
          <cell r="C440" t="str">
            <v>Atap Fiber Glass Tebal 80 x 180 (gelombang)</v>
          </cell>
          <cell r="D440" t="str">
            <v>lbr</v>
          </cell>
          <cell r="E440">
            <v>39500</v>
          </cell>
        </row>
        <row r="441">
          <cell r="A441" t="str">
            <v>BX04</v>
          </cell>
          <cell r="B441">
            <v>385</v>
          </cell>
          <cell r="C441" t="str">
            <v>Atap Aluminium Natural USR 26 ( JAINDO )</v>
          </cell>
          <cell r="D441" t="str">
            <v>m²</v>
          </cell>
          <cell r="E441">
            <v>74000</v>
          </cell>
        </row>
        <row r="442">
          <cell r="A442" t="str">
            <v>BX05</v>
          </cell>
          <cell r="B442">
            <v>386</v>
          </cell>
          <cell r="C442" t="str">
            <v>Atap Aluminium Warna USR 26 ( JAINDO )</v>
          </cell>
          <cell r="D442" t="str">
            <v>m²</v>
          </cell>
          <cell r="E442">
            <v>85500</v>
          </cell>
        </row>
        <row r="443">
          <cell r="A443" t="str">
            <v>BX06</v>
          </cell>
          <cell r="B443">
            <v>387</v>
          </cell>
          <cell r="C443" t="str">
            <v>Atap Asbes Gel. Kecil 4 mm 80 x 180</v>
          </cell>
          <cell r="D443" t="str">
            <v>lbr</v>
          </cell>
          <cell r="E443">
            <v>36750</v>
          </cell>
        </row>
        <row r="444">
          <cell r="A444" t="str">
            <v>BX07</v>
          </cell>
          <cell r="B444">
            <v>388</v>
          </cell>
          <cell r="C444" t="str">
            <v>Atap Asbes Gel. Besar 5 mm 80 x 180</v>
          </cell>
          <cell r="D444" t="str">
            <v>lbr</v>
          </cell>
          <cell r="E444">
            <v>51000</v>
          </cell>
        </row>
        <row r="445">
          <cell r="A445" t="str">
            <v>BX08</v>
          </cell>
          <cell r="B445">
            <v>389</v>
          </cell>
          <cell r="C445" t="str">
            <v>Atap Tegola Kubota, lengkap</v>
          </cell>
          <cell r="D445" t="str">
            <v>m²</v>
          </cell>
          <cell r="E445">
            <v>258250</v>
          </cell>
        </row>
        <row r="446">
          <cell r="A446" t="str">
            <v>BX09</v>
          </cell>
          <cell r="B446">
            <v>390</v>
          </cell>
          <cell r="C446" t="str">
            <v>Atap Tegola Kwalitas Sedang</v>
          </cell>
          <cell r="D446" t="str">
            <v>m²</v>
          </cell>
          <cell r="E446">
            <v>143500</v>
          </cell>
        </row>
        <row r="447">
          <cell r="A447" t="str">
            <v>BX10</v>
          </cell>
          <cell r="B447">
            <v>391</v>
          </cell>
          <cell r="C447" t="str">
            <v>Aluminium foile</v>
          </cell>
          <cell r="D447" t="str">
            <v>m²</v>
          </cell>
          <cell r="E447">
            <v>4250</v>
          </cell>
        </row>
        <row r="448">
          <cell r="A448" t="str">
            <v>BX11</v>
          </cell>
          <cell r="B448">
            <v>392</v>
          </cell>
          <cell r="C448" t="str">
            <v>Atap Genteng Plentong pres Bakar KW 1</v>
          </cell>
          <cell r="D448" t="str">
            <v>bh</v>
          </cell>
          <cell r="E448">
            <v>550</v>
          </cell>
        </row>
        <row r="449">
          <cell r="A449" t="str">
            <v>BX12</v>
          </cell>
          <cell r="B449">
            <v>393</v>
          </cell>
          <cell r="C449" t="str">
            <v xml:space="preserve">Atap Genteng Plentong pres Molen Oven KW1 </v>
          </cell>
          <cell r="D449" t="str">
            <v>bh</v>
          </cell>
          <cell r="E449">
            <v>650</v>
          </cell>
        </row>
        <row r="450">
          <cell r="A450" t="str">
            <v>BX13</v>
          </cell>
          <cell r="B450">
            <v>394</v>
          </cell>
          <cell r="C450" t="str">
            <v>Atap Genteng Flam pres Molen Oven Jatiwangi</v>
          </cell>
          <cell r="D450" t="str">
            <v>bh</v>
          </cell>
          <cell r="E450">
            <v>750</v>
          </cell>
        </row>
        <row r="451">
          <cell r="A451" t="str">
            <v>BX14</v>
          </cell>
          <cell r="B451">
            <v>395</v>
          </cell>
          <cell r="C451" t="str">
            <v>Bubung Genteng pres Bulat Ex Jatiwangi</v>
          </cell>
          <cell r="D451" t="str">
            <v>bh</v>
          </cell>
          <cell r="E451">
            <v>3000</v>
          </cell>
        </row>
        <row r="452">
          <cell r="A452" t="str">
            <v>BX15</v>
          </cell>
          <cell r="B452">
            <v>396</v>
          </cell>
          <cell r="C452" t="str">
            <v>Genteng Bubungan Ex Jatiwangi Segi Tiga</v>
          </cell>
          <cell r="D452" t="str">
            <v>bh</v>
          </cell>
          <cell r="E452">
            <v>2100</v>
          </cell>
        </row>
        <row r="455">
          <cell r="A455" t="str">
            <v>BX16</v>
          </cell>
          <cell r="B455">
            <v>397</v>
          </cell>
          <cell r="C455" t="str">
            <v>Genteng Bubungan Beton</v>
          </cell>
          <cell r="D455" t="str">
            <v>bh</v>
          </cell>
          <cell r="E455">
            <v>4750</v>
          </cell>
        </row>
        <row r="456">
          <cell r="A456" t="str">
            <v>BX17</v>
          </cell>
          <cell r="B456">
            <v>398</v>
          </cell>
          <cell r="C456" t="str">
            <v>Genteng Metal  ( Rainbow Roof )</v>
          </cell>
          <cell r="D456" t="str">
            <v>m²</v>
          </cell>
          <cell r="E456">
            <v>114500</v>
          </cell>
        </row>
        <row r="457">
          <cell r="A457" t="str">
            <v>BX18</v>
          </cell>
          <cell r="B457">
            <v>399</v>
          </cell>
          <cell r="C457" t="str">
            <v xml:space="preserve">Genteng Metal Hana </v>
          </cell>
          <cell r="D457" t="str">
            <v>m²</v>
          </cell>
          <cell r="E457">
            <v>82500</v>
          </cell>
        </row>
        <row r="458">
          <cell r="A458" t="str">
            <v>BX19</v>
          </cell>
          <cell r="B458">
            <v>400</v>
          </cell>
          <cell r="C458" t="str">
            <v>Nok Atas Metal ( Rainbow Roof )</v>
          </cell>
          <cell r="D458" t="str">
            <v>m1</v>
          </cell>
          <cell r="E458">
            <v>74500</v>
          </cell>
        </row>
        <row r="459">
          <cell r="A459" t="str">
            <v>BX20</v>
          </cell>
          <cell r="B459">
            <v>401</v>
          </cell>
          <cell r="C459" t="str">
            <v>Nok Atas Metal Hana</v>
          </cell>
          <cell r="D459" t="str">
            <v>m1</v>
          </cell>
          <cell r="E459">
            <v>40000</v>
          </cell>
        </row>
        <row r="460">
          <cell r="A460" t="str">
            <v>BX21</v>
          </cell>
          <cell r="B460">
            <v>402</v>
          </cell>
          <cell r="C460" t="str">
            <v>Nok Pinggir Metal ( Rainbow Roof )</v>
          </cell>
          <cell r="D460" t="str">
            <v>m1</v>
          </cell>
          <cell r="E460">
            <v>51500</v>
          </cell>
        </row>
        <row r="461">
          <cell r="A461" t="str">
            <v>BX22</v>
          </cell>
          <cell r="B461">
            <v>403</v>
          </cell>
          <cell r="C461" t="str">
            <v>Nok Pinggir Hana</v>
          </cell>
          <cell r="D461" t="str">
            <v>m1</v>
          </cell>
          <cell r="E461">
            <v>40000</v>
          </cell>
        </row>
        <row r="462">
          <cell r="A462" t="str">
            <v>BX23</v>
          </cell>
          <cell r="B462">
            <v>404</v>
          </cell>
          <cell r="C462" t="str">
            <v>Wall Flashing ( Rainbow Roof )</v>
          </cell>
          <cell r="D462" t="str">
            <v>m1</v>
          </cell>
          <cell r="E462">
            <v>51500</v>
          </cell>
        </row>
        <row r="463">
          <cell r="A463" t="str">
            <v>BX24</v>
          </cell>
          <cell r="B463">
            <v>405</v>
          </cell>
          <cell r="C463" t="str">
            <v>Wall Flashing Hana</v>
          </cell>
          <cell r="D463" t="str">
            <v>m1</v>
          </cell>
          <cell r="E463">
            <v>40000</v>
          </cell>
        </row>
        <row r="464">
          <cell r="A464" t="str">
            <v>BX25</v>
          </cell>
          <cell r="B464">
            <v>406</v>
          </cell>
          <cell r="C464" t="str">
            <v>Atap Genteng Beton Warna 14,5/m2</v>
          </cell>
          <cell r="D464" t="str">
            <v>m²</v>
          </cell>
          <cell r="E464">
            <v>45500</v>
          </cell>
        </row>
        <row r="465">
          <cell r="A465" t="str">
            <v>BX26</v>
          </cell>
          <cell r="B465">
            <v>407</v>
          </cell>
          <cell r="C465" t="str">
            <v>Genteng Beton Natural</v>
          </cell>
          <cell r="D465" t="str">
            <v>m²</v>
          </cell>
          <cell r="E465">
            <v>44500</v>
          </cell>
        </row>
        <row r="466">
          <cell r="A466" t="str">
            <v>BX27</v>
          </cell>
          <cell r="B466">
            <v>408</v>
          </cell>
          <cell r="C466" t="str">
            <v>Sirap Kelas I ( 80 / m2 )</v>
          </cell>
          <cell r="D466" t="str">
            <v>bh</v>
          </cell>
          <cell r="E466">
            <v>500</v>
          </cell>
        </row>
        <row r="467">
          <cell r="A467" t="str">
            <v>BX28</v>
          </cell>
          <cell r="B467">
            <v>409</v>
          </cell>
          <cell r="C467" t="str">
            <v>Genteng Keramik Natural Intan 14,5 / m2</v>
          </cell>
          <cell r="D467" t="str">
            <v>m²</v>
          </cell>
          <cell r="E467">
            <v>52000</v>
          </cell>
        </row>
        <row r="468">
          <cell r="A468" t="str">
            <v>BX29</v>
          </cell>
          <cell r="B468">
            <v>410</v>
          </cell>
          <cell r="C468" t="str">
            <v>Genteng Keramik Glasur Standard 14,5 / m2</v>
          </cell>
          <cell r="D468" t="str">
            <v>m²</v>
          </cell>
          <cell r="E468">
            <v>58500</v>
          </cell>
        </row>
        <row r="469">
          <cell r="A469" t="str">
            <v>BX30</v>
          </cell>
          <cell r="B469">
            <v>411</v>
          </cell>
          <cell r="C469" t="str">
            <v>Genteng Keramik Glasur Special 14,5 / m2</v>
          </cell>
          <cell r="D469" t="str">
            <v>m²</v>
          </cell>
          <cell r="E469">
            <v>62000</v>
          </cell>
        </row>
        <row r="470">
          <cell r="A470" t="str">
            <v>BX31</v>
          </cell>
          <cell r="B470">
            <v>412</v>
          </cell>
          <cell r="C470" t="str">
            <v>Genteng Keramik Glasur Premium 14,5 / m2</v>
          </cell>
          <cell r="D470" t="str">
            <v>m²</v>
          </cell>
          <cell r="E470">
            <v>69750</v>
          </cell>
        </row>
        <row r="471">
          <cell r="A471" t="str">
            <v>BX32</v>
          </cell>
          <cell r="B471">
            <v>413</v>
          </cell>
          <cell r="C471" t="str">
            <v>Genteng Murando Natural 1m2 = 20 bh</v>
          </cell>
          <cell r="D471" t="str">
            <v>bh</v>
          </cell>
          <cell r="E471">
            <v>1500</v>
          </cell>
        </row>
        <row r="472">
          <cell r="A472" t="str">
            <v>BX33</v>
          </cell>
          <cell r="B472">
            <v>414</v>
          </cell>
          <cell r="C472" t="str">
            <v>Genteng Murando Glasur 1m2 = 20 bh</v>
          </cell>
          <cell r="D472" t="str">
            <v>bh</v>
          </cell>
          <cell r="E472">
            <v>1500</v>
          </cell>
        </row>
        <row r="473">
          <cell r="A473" t="str">
            <v>BX34</v>
          </cell>
          <cell r="B473">
            <v>415</v>
          </cell>
          <cell r="C473" t="str">
            <v>Bubung Murando Natural</v>
          </cell>
          <cell r="D473" t="str">
            <v>bh</v>
          </cell>
          <cell r="E473">
            <v>3000</v>
          </cell>
        </row>
        <row r="474">
          <cell r="A474" t="str">
            <v>BX35</v>
          </cell>
          <cell r="B474">
            <v>416</v>
          </cell>
          <cell r="C474" t="str">
            <v>Bubung Murando Glasur</v>
          </cell>
          <cell r="D474" t="str">
            <v>bh</v>
          </cell>
          <cell r="E474">
            <v>4000</v>
          </cell>
        </row>
        <row r="475">
          <cell r="A475" t="str">
            <v>BX36</v>
          </cell>
          <cell r="B475">
            <v>417</v>
          </cell>
          <cell r="C475" t="str">
            <v>Bubungan Genteng Keramik</v>
          </cell>
          <cell r="D475" t="str">
            <v>bh</v>
          </cell>
          <cell r="E475">
            <v>3500</v>
          </cell>
        </row>
        <row r="477">
          <cell r="C477" t="str">
            <v>N. BAHAN MEKANIKAL</v>
          </cell>
        </row>
        <row r="478">
          <cell r="A478" t="str">
            <v>BZ01</v>
          </cell>
          <cell r="B478">
            <v>418</v>
          </cell>
          <cell r="C478" t="str">
            <v>Jockey Pump kap. 80 gln / menit 100 m1  ( 18,6 kW )</v>
          </cell>
          <cell r="D478" t="str">
            <v>unit</v>
          </cell>
          <cell r="E478">
            <v>35000000</v>
          </cell>
        </row>
        <row r="479">
          <cell r="A479" t="str">
            <v>BZ02</v>
          </cell>
          <cell r="B479">
            <v>419</v>
          </cell>
          <cell r="C479" t="str">
            <v>Electrical Pump kap. 750 gln / menit 120 m1  ( 90 kW )</v>
          </cell>
          <cell r="D479" t="str">
            <v>unit</v>
          </cell>
          <cell r="E479">
            <v>120000000</v>
          </cell>
        </row>
        <row r="480">
          <cell r="A480" t="str">
            <v>BZ03</v>
          </cell>
          <cell r="B480">
            <v>420</v>
          </cell>
          <cell r="C480" t="str">
            <v>Diesel Pump kap. 750 gln / menit 120 m1  ( 105 kW )</v>
          </cell>
          <cell r="D480" t="str">
            <v>unit</v>
          </cell>
          <cell r="E480">
            <v>300000000</v>
          </cell>
        </row>
        <row r="481">
          <cell r="A481" t="str">
            <v>BZ04</v>
          </cell>
          <cell r="B481">
            <v>421</v>
          </cell>
          <cell r="C481" t="str">
            <v xml:space="preserve">Presure Tank kap. 500 liter lengkap </v>
          </cell>
          <cell r="D481" t="str">
            <v>unit</v>
          </cell>
          <cell r="E481">
            <v>17500000</v>
          </cell>
        </row>
        <row r="482">
          <cell r="A482" t="str">
            <v>BZ05</v>
          </cell>
          <cell r="B482">
            <v>422</v>
          </cell>
          <cell r="C482" t="str">
            <v>Hydran Box dalam Gedung  (lengkap)</v>
          </cell>
          <cell r="D482" t="str">
            <v>unit</v>
          </cell>
          <cell r="E482">
            <v>3100000</v>
          </cell>
        </row>
        <row r="483">
          <cell r="A483" t="str">
            <v>BZ06</v>
          </cell>
          <cell r="B483">
            <v>423</v>
          </cell>
          <cell r="C483" t="str">
            <v>Fire House 1.5 x 30 m + nose</v>
          </cell>
          <cell r="D483" t="str">
            <v>unit</v>
          </cell>
          <cell r="E483">
            <v>2500000</v>
          </cell>
        </row>
        <row r="484">
          <cell r="A484" t="str">
            <v>BZ07</v>
          </cell>
          <cell r="B484">
            <v>424</v>
          </cell>
          <cell r="C484" t="str">
            <v>Exhouse Fan H 360 W 60 x 60 cm</v>
          </cell>
          <cell r="D484" t="str">
            <v>unit</v>
          </cell>
          <cell r="E484">
            <v>3500000</v>
          </cell>
        </row>
        <row r="485">
          <cell r="A485" t="str">
            <v>BZ08</v>
          </cell>
          <cell r="B485">
            <v>425</v>
          </cell>
          <cell r="C485" t="str">
            <v xml:space="preserve">Exhouse Fan H 380 W CFM 55 x 55 cm </v>
          </cell>
          <cell r="D485" t="str">
            <v>unit</v>
          </cell>
          <cell r="E485">
            <v>3100000</v>
          </cell>
        </row>
        <row r="486">
          <cell r="A486" t="str">
            <v>BZ09</v>
          </cell>
          <cell r="B486">
            <v>426</v>
          </cell>
          <cell r="C486" t="str">
            <v xml:space="preserve">Exhouse Fan H 100 W 40 x 40 cm </v>
          </cell>
          <cell r="D486" t="str">
            <v>unit</v>
          </cell>
          <cell r="E486">
            <v>550000</v>
          </cell>
        </row>
        <row r="487">
          <cell r="A487" t="str">
            <v>BZ10</v>
          </cell>
          <cell r="B487">
            <v>427</v>
          </cell>
          <cell r="C487" t="str">
            <v>AC Split 3 PK Setara DAIKIN</v>
          </cell>
          <cell r="D487" t="str">
            <v>unit</v>
          </cell>
          <cell r="E487">
            <v>17500000</v>
          </cell>
        </row>
        <row r="488">
          <cell r="A488" t="str">
            <v>BZ11</v>
          </cell>
          <cell r="B488">
            <v>428</v>
          </cell>
          <cell r="C488" t="str">
            <v>AC Split  2 PK Setara DAIKIN</v>
          </cell>
          <cell r="D488" t="str">
            <v>unit</v>
          </cell>
          <cell r="E488">
            <v>12500000</v>
          </cell>
        </row>
        <row r="489">
          <cell r="A489" t="str">
            <v>BZ12</v>
          </cell>
          <cell r="B489">
            <v>429</v>
          </cell>
          <cell r="C489" t="str">
            <v>AC Split  1 PK Setara DAIKIN</v>
          </cell>
          <cell r="D489" t="str">
            <v>unit</v>
          </cell>
          <cell r="E489">
            <v>6500000</v>
          </cell>
        </row>
        <row r="490">
          <cell r="A490" t="str">
            <v>BZ13</v>
          </cell>
          <cell r="B490">
            <v>430</v>
          </cell>
          <cell r="C490" t="str">
            <v>Mesin AC Split  DAIKIN ( Indoor / Outdoor Unit )</v>
          </cell>
          <cell r="D490" t="str">
            <v xml:space="preserve">1 BTU </v>
          </cell>
          <cell r="E490">
            <v>750</v>
          </cell>
        </row>
        <row r="496">
          <cell r="C496" t="str">
            <v>O. BAHAN ELEKTRIKAL</v>
          </cell>
          <cell r="D496">
            <v>1.5</v>
          </cell>
        </row>
        <row r="497">
          <cell r="A497" t="str">
            <v>BZ16</v>
          </cell>
          <cell r="B497">
            <v>431</v>
          </cell>
          <cell r="C497" t="str">
            <v>Kabel NYA  1x 1.5  Prima (1 rol = 50 m')</v>
          </cell>
          <cell r="D497" t="str">
            <v>roll</v>
          </cell>
          <cell r="E497">
            <v>40500</v>
          </cell>
        </row>
        <row r="498">
          <cell r="A498" t="str">
            <v>BZ17</v>
          </cell>
          <cell r="B498">
            <v>432</v>
          </cell>
          <cell r="C498" t="str">
            <v>Kabel NYA  1x 2.5  Prima (1 rol = 50 m')</v>
          </cell>
          <cell r="D498" t="str">
            <v>roll</v>
          </cell>
          <cell r="E498">
            <v>60500</v>
          </cell>
        </row>
        <row r="499">
          <cell r="A499" t="str">
            <v>BZ18</v>
          </cell>
          <cell r="B499">
            <v>433</v>
          </cell>
          <cell r="C499" t="str">
            <v>Kabel NYM 2 x 1.5 Prima (1 rol = 50 m')</v>
          </cell>
          <cell r="D499" t="str">
            <v>roll</v>
          </cell>
          <cell r="E499">
            <v>1500</v>
          </cell>
        </row>
        <row r="500">
          <cell r="A500" t="str">
            <v>BZ19</v>
          </cell>
          <cell r="B500">
            <v>434</v>
          </cell>
          <cell r="C500" t="str">
            <v>Kabel NYM 3 x 1.5 Prima (1 rol = 50 m')</v>
          </cell>
          <cell r="D500" t="str">
            <v>roll</v>
          </cell>
          <cell r="E500">
            <v>2500</v>
          </cell>
        </row>
        <row r="501">
          <cell r="A501" t="str">
            <v>BZ20</v>
          </cell>
          <cell r="B501">
            <v>435</v>
          </cell>
          <cell r="C501" t="str">
            <v>Kabel NYM 2 x 2.5 Prima (1 rol = 50 m')</v>
          </cell>
          <cell r="D501" t="str">
            <v>roll</v>
          </cell>
          <cell r="E501">
            <v>2000</v>
          </cell>
        </row>
        <row r="502">
          <cell r="A502" t="str">
            <v>BZ21</v>
          </cell>
          <cell r="B502">
            <v>436</v>
          </cell>
          <cell r="C502" t="str">
            <v>Kabel NYM 3 x 2.5 Prima (1 rol = 50 m')</v>
          </cell>
          <cell r="D502" t="str">
            <v>roll</v>
          </cell>
          <cell r="E502">
            <v>3500</v>
          </cell>
        </row>
        <row r="503">
          <cell r="A503" t="str">
            <v>BZ22</v>
          </cell>
          <cell r="B503">
            <v>437</v>
          </cell>
          <cell r="C503" t="str">
            <v>Kabel NYM 4 x 2.5 Prima (1 rol = 50 m')</v>
          </cell>
          <cell r="D503" t="str">
            <v>roll</v>
          </cell>
          <cell r="E503">
            <v>3000</v>
          </cell>
        </row>
        <row r="504">
          <cell r="A504" t="str">
            <v>BZ23</v>
          </cell>
          <cell r="B504">
            <v>438</v>
          </cell>
          <cell r="C504" t="str">
            <v>Kabel NYM 2 x 4    Prima (1 rol = 50 m')</v>
          </cell>
          <cell r="D504" t="str">
            <v>roll</v>
          </cell>
          <cell r="E504">
            <v>2500</v>
          </cell>
        </row>
        <row r="505">
          <cell r="A505" t="str">
            <v>BZ24</v>
          </cell>
          <cell r="B505">
            <v>439</v>
          </cell>
          <cell r="C505" t="str">
            <v>Kabel NYM 3 x 4    Prima (1 rol = 50 m')</v>
          </cell>
          <cell r="D505" t="str">
            <v>roll</v>
          </cell>
          <cell r="E505">
            <v>5750</v>
          </cell>
        </row>
        <row r="506">
          <cell r="A506" t="str">
            <v>BZ25</v>
          </cell>
          <cell r="B506">
            <v>440</v>
          </cell>
          <cell r="C506" t="str">
            <v>Kabel NYM 4 x 4    Prima (1 rol = 50 m')</v>
          </cell>
          <cell r="D506" t="str">
            <v>roll</v>
          </cell>
          <cell r="E506">
            <v>8000</v>
          </cell>
        </row>
        <row r="507">
          <cell r="A507" t="str">
            <v>BZ26</v>
          </cell>
          <cell r="B507">
            <v>441</v>
          </cell>
          <cell r="C507" t="str">
            <v>Kabel NYM 2 x 6    Supreme (1 rol = 50 m')</v>
          </cell>
          <cell r="D507" t="str">
            <v>roll</v>
          </cell>
          <cell r="E507">
            <v>4500</v>
          </cell>
        </row>
        <row r="508">
          <cell r="A508" t="str">
            <v>BZ27</v>
          </cell>
          <cell r="B508">
            <v>442</v>
          </cell>
          <cell r="C508" t="str">
            <v>Kabel NYM 3 x 6    Supreme (1 rol = 50 m')</v>
          </cell>
          <cell r="D508" t="str">
            <v>roll</v>
          </cell>
          <cell r="E508">
            <v>6000</v>
          </cell>
        </row>
        <row r="509">
          <cell r="A509" t="str">
            <v>BZ28</v>
          </cell>
          <cell r="B509">
            <v>443</v>
          </cell>
          <cell r="C509" t="str">
            <v>Kabel NYM 4 x 6    Supreme (1 rol = 50 m')</v>
          </cell>
          <cell r="D509" t="str">
            <v>roll</v>
          </cell>
          <cell r="E509">
            <v>8000</v>
          </cell>
        </row>
        <row r="510">
          <cell r="A510" t="str">
            <v>BZ29</v>
          </cell>
          <cell r="B510">
            <v>444</v>
          </cell>
          <cell r="C510" t="str">
            <v>Kabel NYM 2 x 10  Supreme (1 rol = 50 m')</v>
          </cell>
          <cell r="D510" t="str">
            <v>roll</v>
          </cell>
          <cell r="E510">
            <v>7500</v>
          </cell>
        </row>
        <row r="511">
          <cell r="A511" t="str">
            <v>BZ30</v>
          </cell>
          <cell r="B511">
            <v>445</v>
          </cell>
          <cell r="C511" t="str">
            <v>Kabel NYM 3 x 10  Supreme (1 rol = 50 m')</v>
          </cell>
          <cell r="D511" t="str">
            <v>roll</v>
          </cell>
          <cell r="E511">
            <v>10000</v>
          </cell>
        </row>
        <row r="512">
          <cell r="A512" t="str">
            <v>BZ31</v>
          </cell>
          <cell r="B512">
            <v>446</v>
          </cell>
          <cell r="C512" t="str">
            <v>Kabel NYM 4 x 10  Supreme (1 rol = 50 m')</v>
          </cell>
          <cell r="D512" t="str">
            <v>roll</v>
          </cell>
          <cell r="E512">
            <v>11000</v>
          </cell>
        </row>
        <row r="513">
          <cell r="A513" t="str">
            <v>BZ32</v>
          </cell>
          <cell r="B513">
            <v>447</v>
          </cell>
          <cell r="C513" t="str">
            <v>Kabel NYM 4 x 16  Supreme (1 rol = 50 m')</v>
          </cell>
          <cell r="D513" t="str">
            <v>roll</v>
          </cell>
          <cell r="E513">
            <v>15000</v>
          </cell>
        </row>
        <row r="514">
          <cell r="A514" t="str">
            <v>BZ33</v>
          </cell>
          <cell r="B514">
            <v>448</v>
          </cell>
          <cell r="C514" t="str">
            <v>Kabel NYY 2  x 4    Supreme (1 rol = 50 m')</v>
          </cell>
          <cell r="D514" t="str">
            <v>roll</v>
          </cell>
          <cell r="E514">
            <v>4500</v>
          </cell>
        </row>
        <row r="515">
          <cell r="A515" t="str">
            <v>BZ34</v>
          </cell>
          <cell r="B515">
            <v>449</v>
          </cell>
          <cell r="C515" t="str">
            <v>Kabel NYY 3  x 4    Supreme (1 rol = 50 m')</v>
          </cell>
          <cell r="D515" t="str">
            <v>roll</v>
          </cell>
          <cell r="E515">
            <v>6000</v>
          </cell>
        </row>
        <row r="516">
          <cell r="A516" t="str">
            <v>BZ35</v>
          </cell>
          <cell r="B516">
            <v>450</v>
          </cell>
          <cell r="C516" t="str">
            <v>Kabel NYY 4  x 4    Supreme (1 rol = 50 m')</v>
          </cell>
          <cell r="D516" t="str">
            <v>roll</v>
          </cell>
          <cell r="E516">
            <v>10000</v>
          </cell>
        </row>
        <row r="517">
          <cell r="A517" t="str">
            <v>BZ36</v>
          </cell>
          <cell r="B517">
            <v>451</v>
          </cell>
          <cell r="C517" t="str">
            <v>Kabel NYY 2  x 6    Supreme (1 rol = 50 m')</v>
          </cell>
          <cell r="D517" t="str">
            <v>roll</v>
          </cell>
          <cell r="E517">
            <v>4500</v>
          </cell>
        </row>
        <row r="518">
          <cell r="A518" t="str">
            <v>BZ37</v>
          </cell>
          <cell r="B518">
            <v>452</v>
          </cell>
          <cell r="C518" t="str">
            <v>Kabel NYY 3  x 6    Supreme (1 rol = 50 m')</v>
          </cell>
          <cell r="D518" t="str">
            <v>roll</v>
          </cell>
          <cell r="E518">
            <v>7500</v>
          </cell>
        </row>
        <row r="520">
          <cell r="A520" t="str">
            <v>BZ38</v>
          </cell>
          <cell r="B520">
            <v>453</v>
          </cell>
          <cell r="C520" t="str">
            <v>Kabel NYY 4  x 6    Supreme (1 rol = 50 m')</v>
          </cell>
          <cell r="D520" t="str">
            <v>roll</v>
          </cell>
          <cell r="E520">
            <v>9250</v>
          </cell>
        </row>
        <row r="521">
          <cell r="A521" t="str">
            <v>BZ39</v>
          </cell>
          <cell r="B521">
            <v>454</v>
          </cell>
          <cell r="C521" t="str">
            <v>Kabel NYY 2 x 10   Supreme (1 rol = 50 m')</v>
          </cell>
          <cell r="D521" t="str">
            <v>roll</v>
          </cell>
          <cell r="E521">
            <v>8000</v>
          </cell>
        </row>
        <row r="522">
          <cell r="A522" t="str">
            <v>BZ40</v>
          </cell>
          <cell r="B522">
            <v>455</v>
          </cell>
          <cell r="C522" t="str">
            <v>Kabel NYY 3 x 10   Supreme (1 rol = 50 m')</v>
          </cell>
          <cell r="D522" t="str">
            <v>roll</v>
          </cell>
          <cell r="E522">
            <v>11000</v>
          </cell>
        </row>
        <row r="523">
          <cell r="A523" t="str">
            <v>BZ41</v>
          </cell>
          <cell r="B523">
            <v>456</v>
          </cell>
          <cell r="C523" t="str">
            <v>Kabel NYY 4 x 10   Supreme (1 rol = 50 m')</v>
          </cell>
          <cell r="D523" t="str">
            <v>roll</v>
          </cell>
          <cell r="E523">
            <v>13500</v>
          </cell>
        </row>
        <row r="524">
          <cell r="A524" t="str">
            <v>BZ42</v>
          </cell>
          <cell r="B524">
            <v>457</v>
          </cell>
          <cell r="C524" t="str">
            <v>Kabel NYY 4 x 16   Supreme (1 rol = 50 m')</v>
          </cell>
          <cell r="D524" t="str">
            <v>roll</v>
          </cell>
          <cell r="E524">
            <v>21500</v>
          </cell>
        </row>
        <row r="525">
          <cell r="A525" t="str">
            <v>BZ43</v>
          </cell>
          <cell r="B525">
            <v>458</v>
          </cell>
          <cell r="C525" t="str">
            <v>NSFB FUJI EA - 100 A</v>
          </cell>
          <cell r="D525" t="str">
            <v>bh</v>
          </cell>
          <cell r="E525">
            <v>425500</v>
          </cell>
        </row>
        <row r="526">
          <cell r="A526" t="str">
            <v>BZ44</v>
          </cell>
          <cell r="B526">
            <v>459</v>
          </cell>
          <cell r="C526" t="str">
            <v>NSFB FUJI EA - 150 A</v>
          </cell>
          <cell r="D526" t="str">
            <v>bh</v>
          </cell>
          <cell r="E526">
            <v>1006500</v>
          </cell>
        </row>
        <row r="527">
          <cell r="A527" t="str">
            <v>BZ45</v>
          </cell>
          <cell r="B527">
            <v>460</v>
          </cell>
          <cell r="C527" t="str">
            <v>Rumah Panel 30 x 60 cm (kosong)</v>
          </cell>
          <cell r="D527" t="str">
            <v>unt</v>
          </cell>
          <cell r="E527">
            <v>75000</v>
          </cell>
        </row>
        <row r="528">
          <cell r="A528" t="str">
            <v>BZ46</v>
          </cell>
          <cell r="B528">
            <v>461</v>
          </cell>
          <cell r="C528" t="str">
            <v>Skring Kas 2 grop Biasa</v>
          </cell>
          <cell r="D528" t="str">
            <v>unt</v>
          </cell>
          <cell r="E528">
            <v>86500</v>
          </cell>
        </row>
        <row r="529">
          <cell r="A529" t="str">
            <v>BZ47</v>
          </cell>
          <cell r="B529">
            <v>462</v>
          </cell>
          <cell r="C529" t="str">
            <v>Skring Kas 3 grop Biasa</v>
          </cell>
          <cell r="D529" t="str">
            <v>unt</v>
          </cell>
          <cell r="E529">
            <v>109500</v>
          </cell>
        </row>
        <row r="530">
          <cell r="A530" t="str">
            <v>BZ48</v>
          </cell>
          <cell r="B530">
            <v>463</v>
          </cell>
          <cell r="C530" t="str">
            <v>Skring Kas 5 grop Biasa</v>
          </cell>
          <cell r="D530" t="str">
            <v>unt</v>
          </cell>
          <cell r="E530">
            <v>230000</v>
          </cell>
        </row>
        <row r="531">
          <cell r="A531" t="str">
            <v>BZ49</v>
          </cell>
          <cell r="B531">
            <v>464</v>
          </cell>
          <cell r="C531" t="str">
            <v>MCB 1 PAS</v>
          </cell>
          <cell r="D531" t="str">
            <v>bh</v>
          </cell>
          <cell r="E531">
            <v>23000</v>
          </cell>
        </row>
        <row r="532">
          <cell r="A532" t="str">
            <v>BZ50</v>
          </cell>
          <cell r="B532">
            <v>465</v>
          </cell>
          <cell r="C532" t="str">
            <v>MCB 3 PAS</v>
          </cell>
          <cell r="D532" t="str">
            <v>bh</v>
          </cell>
          <cell r="E532">
            <v>29000</v>
          </cell>
        </row>
        <row r="533">
          <cell r="A533" t="str">
            <v>BZ51</v>
          </cell>
          <cell r="B533">
            <v>466</v>
          </cell>
          <cell r="C533" t="str">
            <v>Tahanan 50 A Merk Fuji</v>
          </cell>
          <cell r="D533" t="str">
            <v>bh</v>
          </cell>
          <cell r="E533">
            <v>259000</v>
          </cell>
        </row>
        <row r="534">
          <cell r="A534" t="str">
            <v>BZ53</v>
          </cell>
          <cell r="B534">
            <v>467</v>
          </cell>
          <cell r="C534" t="str">
            <v>Saklar Broko Tunggal Standard ( 1 Phase )</v>
          </cell>
          <cell r="D534" t="str">
            <v>bh</v>
          </cell>
          <cell r="E534">
            <v>8000</v>
          </cell>
        </row>
        <row r="537">
          <cell r="A537" t="str">
            <v>BZ54</v>
          </cell>
          <cell r="B537">
            <v>468</v>
          </cell>
          <cell r="C537" t="str">
            <v>Saklar Broko Seri Standard ( 1 Phase )</v>
          </cell>
          <cell r="D537" t="str">
            <v>bh</v>
          </cell>
          <cell r="E537">
            <v>10500</v>
          </cell>
        </row>
        <row r="538">
          <cell r="A538" t="str">
            <v>BZ55</v>
          </cell>
          <cell r="B538">
            <v>469</v>
          </cell>
          <cell r="C538" t="str">
            <v>Stop Kontak Broko Standard ( 1 Phase )</v>
          </cell>
          <cell r="D538" t="str">
            <v>bh</v>
          </cell>
          <cell r="E538">
            <v>9500</v>
          </cell>
        </row>
        <row r="539">
          <cell r="A539" t="str">
            <v>BZ56</v>
          </cell>
          <cell r="B539">
            <v>470</v>
          </cell>
          <cell r="C539" t="str">
            <v xml:space="preserve">Stop Kontak Broko 3 Phase ( Out Bow )  </v>
          </cell>
          <cell r="D539" t="str">
            <v>bh</v>
          </cell>
          <cell r="E539">
            <v>40500</v>
          </cell>
        </row>
        <row r="540">
          <cell r="A540" t="str">
            <v>BZ57</v>
          </cell>
          <cell r="B540">
            <v>471</v>
          </cell>
          <cell r="C540" t="str">
            <v xml:space="preserve">Stop Kontak Broko 3 Phase ( In Bow )  </v>
          </cell>
          <cell r="D540" t="str">
            <v>bh</v>
          </cell>
          <cell r="E540">
            <v>69000</v>
          </cell>
        </row>
        <row r="541">
          <cell r="A541" t="str">
            <v>BZ58</v>
          </cell>
          <cell r="B541">
            <v>472</v>
          </cell>
          <cell r="C541" t="str">
            <v xml:space="preserve">Stop Kontak Handle 3 Phase  </v>
          </cell>
          <cell r="D541" t="str">
            <v>bh</v>
          </cell>
          <cell r="E541">
            <v>40500</v>
          </cell>
        </row>
        <row r="542">
          <cell r="A542" t="str">
            <v>BZ59</v>
          </cell>
          <cell r="B542">
            <v>473</v>
          </cell>
          <cell r="C542" t="str">
            <v>Instalasi Titik Lampu / Stop Kontak ( Upah dan Alat )</v>
          </cell>
          <cell r="D542" t="str">
            <v>ttk</v>
          </cell>
          <cell r="E542">
            <v>86500</v>
          </cell>
        </row>
        <row r="543">
          <cell r="A543" t="str">
            <v>BZ60</v>
          </cell>
          <cell r="B543">
            <v>474</v>
          </cell>
          <cell r="C543" t="str">
            <v>Lampu pijar 25 Watt s/d 100 Watt</v>
          </cell>
          <cell r="D543" t="str">
            <v>bh</v>
          </cell>
          <cell r="E543">
            <v>4000</v>
          </cell>
        </row>
        <row r="544">
          <cell r="A544" t="str">
            <v>BZ61</v>
          </cell>
          <cell r="B544">
            <v>475</v>
          </cell>
          <cell r="C544" t="str">
            <v>Lampu Neon TL Philip 20 W</v>
          </cell>
          <cell r="D544" t="str">
            <v>bh</v>
          </cell>
          <cell r="E544">
            <v>9500</v>
          </cell>
        </row>
        <row r="545">
          <cell r="A545" t="str">
            <v>BZ62</v>
          </cell>
          <cell r="B545">
            <v>476</v>
          </cell>
          <cell r="C545" t="str">
            <v>Lampu Neon TL Philip 40 W</v>
          </cell>
          <cell r="D545" t="str">
            <v>bh</v>
          </cell>
          <cell r="E545">
            <v>12250</v>
          </cell>
        </row>
        <row r="546">
          <cell r="A546" t="str">
            <v>BZ63</v>
          </cell>
          <cell r="B546">
            <v>477</v>
          </cell>
          <cell r="C546" t="str">
            <v>Trapo TL 20 W ( Philip )</v>
          </cell>
          <cell r="D546" t="str">
            <v>bh</v>
          </cell>
          <cell r="E546">
            <v>14500</v>
          </cell>
        </row>
        <row r="547">
          <cell r="A547" t="str">
            <v>BZ64</v>
          </cell>
          <cell r="B547">
            <v>478</v>
          </cell>
          <cell r="C547" t="str">
            <v>Trapo TL 40 W ( Philip )</v>
          </cell>
          <cell r="D547" t="str">
            <v>bh</v>
          </cell>
          <cell r="E547">
            <v>17500</v>
          </cell>
        </row>
        <row r="548">
          <cell r="A548" t="str">
            <v>BZ65</v>
          </cell>
          <cell r="B548">
            <v>479</v>
          </cell>
          <cell r="C548" t="str">
            <v>Trapo TL 20 W ( Sinar )</v>
          </cell>
          <cell r="D548" t="str">
            <v>bh</v>
          </cell>
          <cell r="E548">
            <v>11500</v>
          </cell>
        </row>
        <row r="549">
          <cell r="A549" t="str">
            <v>BZ66</v>
          </cell>
          <cell r="B549">
            <v>480</v>
          </cell>
          <cell r="C549" t="str">
            <v>Trapo TL 40 W ( Sinar )</v>
          </cell>
          <cell r="D549" t="str">
            <v>bh</v>
          </cell>
          <cell r="E549">
            <v>14500</v>
          </cell>
        </row>
        <row r="550">
          <cell r="A550" t="str">
            <v>BZ67</v>
          </cell>
          <cell r="B550">
            <v>481</v>
          </cell>
          <cell r="C550" t="str">
            <v>Stater Neon Philip</v>
          </cell>
          <cell r="D550" t="str">
            <v>bh</v>
          </cell>
          <cell r="E550">
            <v>2500</v>
          </cell>
        </row>
        <row r="551">
          <cell r="A551" t="str">
            <v>BZ68</v>
          </cell>
          <cell r="B551">
            <v>482</v>
          </cell>
          <cell r="C551" t="str">
            <v>Stater Neon Biasa</v>
          </cell>
          <cell r="D551" t="str">
            <v>bh</v>
          </cell>
          <cell r="E551">
            <v>1250</v>
          </cell>
        </row>
        <row r="552">
          <cell r="A552" t="str">
            <v>BZ69</v>
          </cell>
          <cell r="B552">
            <v>483</v>
          </cell>
          <cell r="C552" t="str">
            <v>Rumah TL In Bow / Out Bow 2 x 20 W ( Kosongan )</v>
          </cell>
          <cell r="D552" t="str">
            <v>bh</v>
          </cell>
          <cell r="E552">
            <v>52000</v>
          </cell>
        </row>
        <row r="553">
          <cell r="A553" t="str">
            <v>BZ70</v>
          </cell>
          <cell r="B553">
            <v>484</v>
          </cell>
          <cell r="C553" t="str">
            <v>Down Light + SL 25 W</v>
          </cell>
          <cell r="D553" t="str">
            <v>bh</v>
          </cell>
          <cell r="E553">
            <v>144000</v>
          </cell>
        </row>
        <row r="554">
          <cell r="A554" t="str">
            <v>BZ71</v>
          </cell>
          <cell r="B554">
            <v>485</v>
          </cell>
          <cell r="C554" t="str">
            <v>Lampu SL Philip 25 W</v>
          </cell>
          <cell r="D554" t="str">
            <v>bh</v>
          </cell>
          <cell r="E554">
            <v>63500</v>
          </cell>
        </row>
        <row r="555">
          <cell r="A555" t="str">
            <v>BZ72</v>
          </cell>
          <cell r="B555">
            <v>486</v>
          </cell>
          <cell r="C555" t="str">
            <v>Lampu Sirkel TL 20 W Lengkap</v>
          </cell>
          <cell r="D555" t="str">
            <v>bh</v>
          </cell>
          <cell r="E555">
            <v>31500</v>
          </cell>
        </row>
        <row r="556">
          <cell r="A556" t="str">
            <v>BZ73</v>
          </cell>
          <cell r="B556">
            <v>487</v>
          </cell>
          <cell r="C556" t="str">
            <v>Lampu Mercuri 80 W</v>
          </cell>
          <cell r="D556" t="str">
            <v>bh</v>
          </cell>
          <cell r="E556">
            <v>52000</v>
          </cell>
        </row>
        <row r="557">
          <cell r="A557" t="str">
            <v>BZ74</v>
          </cell>
          <cell r="B557">
            <v>488</v>
          </cell>
          <cell r="C557" t="str">
            <v xml:space="preserve">Lampu Taman + Tiang + Lampu 1 Buah </v>
          </cell>
          <cell r="D557" t="str">
            <v>bh</v>
          </cell>
          <cell r="E557">
            <v>144000</v>
          </cell>
        </row>
        <row r="558">
          <cell r="A558" t="str">
            <v>BZ75</v>
          </cell>
          <cell r="B558">
            <v>489</v>
          </cell>
          <cell r="C558" t="str">
            <v>Lampu Baret 30 cm + Neon</v>
          </cell>
          <cell r="D558" t="str">
            <v>bh</v>
          </cell>
          <cell r="E558">
            <v>98000</v>
          </cell>
        </row>
        <row r="559">
          <cell r="A559" t="str">
            <v>BZ76</v>
          </cell>
          <cell r="B559">
            <v>490</v>
          </cell>
          <cell r="C559" t="str">
            <v xml:space="preserve">Lampu Neon Arcrilik 2 x 40 W lengkap </v>
          </cell>
          <cell r="D559" t="str">
            <v>bh</v>
          </cell>
          <cell r="E559">
            <v>356500</v>
          </cell>
        </row>
        <row r="560">
          <cell r="A560" t="str">
            <v>BZ77</v>
          </cell>
          <cell r="B560">
            <v>491</v>
          </cell>
          <cell r="C560" t="str">
            <v>Jarum Penangkal Petir 16</v>
          </cell>
          <cell r="D560" t="str">
            <v>bh</v>
          </cell>
          <cell r="E560">
            <v>46000</v>
          </cell>
        </row>
        <row r="561">
          <cell r="A561" t="str">
            <v>BZ78</v>
          </cell>
          <cell r="B561">
            <v>492</v>
          </cell>
          <cell r="C561" t="str">
            <v>Kawat BC ( Tembaga )</v>
          </cell>
          <cell r="D561" t="str">
            <v>kg</v>
          </cell>
          <cell r="E561">
            <v>19500</v>
          </cell>
        </row>
        <row r="562">
          <cell r="A562" t="str">
            <v>BZ79</v>
          </cell>
          <cell r="B562">
            <v>493</v>
          </cell>
          <cell r="C562" t="str">
            <v>Pentanahan Penangkal Petir</v>
          </cell>
          <cell r="D562" t="str">
            <v>ttk</v>
          </cell>
          <cell r="E562">
            <v>202500</v>
          </cell>
        </row>
        <row r="563">
          <cell r="A563" t="str">
            <v>BZ80</v>
          </cell>
          <cell r="B563">
            <v>494</v>
          </cell>
          <cell r="C563" t="str">
            <v>Pentanahan Panel</v>
          </cell>
          <cell r="D563" t="str">
            <v>ttk</v>
          </cell>
          <cell r="E563">
            <v>87500</v>
          </cell>
        </row>
        <row r="565">
          <cell r="C565" t="str">
            <v>P. BAHAN ALAT PENGANTUNG DAN KUNCI</v>
          </cell>
        </row>
        <row r="566">
          <cell r="A566" t="str">
            <v>CC01</v>
          </cell>
          <cell r="B566">
            <v>495</v>
          </cell>
          <cell r="C566" t="str">
            <v>Kunci Silinder ALFA untuk Pintu Alumunium</v>
          </cell>
          <cell r="D566" t="str">
            <v>bh</v>
          </cell>
          <cell r="E566">
            <v>201500</v>
          </cell>
        </row>
        <row r="567">
          <cell r="A567" t="str">
            <v>CC02</v>
          </cell>
          <cell r="B567">
            <v>496</v>
          </cell>
          <cell r="C567" t="str">
            <v>Tarikan Pintu Alumunium</v>
          </cell>
          <cell r="D567" t="str">
            <v>bh</v>
          </cell>
          <cell r="E567">
            <v>201500</v>
          </cell>
        </row>
        <row r="568">
          <cell r="A568" t="str">
            <v>CC03</v>
          </cell>
          <cell r="B568">
            <v>497</v>
          </cell>
          <cell r="C568" t="str">
            <v xml:space="preserve">Kunci 2 Slaag ROYAL </v>
          </cell>
          <cell r="D568" t="str">
            <v>bh</v>
          </cell>
          <cell r="E568">
            <v>57500</v>
          </cell>
        </row>
        <row r="569">
          <cell r="A569" t="str">
            <v>CC04</v>
          </cell>
          <cell r="B569">
            <v>498</v>
          </cell>
          <cell r="C569" t="str">
            <v>Rel Henderson Lengkap</v>
          </cell>
          <cell r="D569" t="str">
            <v>bh</v>
          </cell>
          <cell r="E569">
            <v>402500</v>
          </cell>
        </row>
        <row r="570">
          <cell r="A570" t="str">
            <v>CC05</v>
          </cell>
          <cell r="B570">
            <v>499</v>
          </cell>
          <cell r="C570" t="str">
            <v>Rel Maraton I Pintu</v>
          </cell>
          <cell r="D570" t="str">
            <v>unt</v>
          </cell>
          <cell r="E570">
            <v>86500</v>
          </cell>
        </row>
        <row r="571">
          <cell r="A571" t="str">
            <v>CC06</v>
          </cell>
          <cell r="B571">
            <v>500</v>
          </cell>
          <cell r="C571" t="str">
            <v xml:space="preserve">Kunci 2 Slaag Silinder SEIS Asli type 210 s/d type 226 </v>
          </cell>
          <cell r="D571" t="str">
            <v>bh</v>
          </cell>
          <cell r="E571">
            <v>178500</v>
          </cell>
        </row>
        <row r="572">
          <cell r="A572" t="str">
            <v>CC07</v>
          </cell>
          <cell r="B572">
            <v>501</v>
          </cell>
          <cell r="C572" t="str">
            <v>Kunci 2 Slaag Ancor Asli</v>
          </cell>
          <cell r="D572" t="str">
            <v>bh</v>
          </cell>
          <cell r="E572">
            <v>75000</v>
          </cell>
        </row>
        <row r="573">
          <cell r="A573" t="str">
            <v>CC08</v>
          </cell>
          <cell r="B573">
            <v>502</v>
          </cell>
          <cell r="C573" t="str">
            <v>Kunci 2 Slaag ISO</v>
          </cell>
          <cell r="D573" t="str">
            <v>bh</v>
          </cell>
          <cell r="E573">
            <v>86500</v>
          </cell>
        </row>
        <row r="574">
          <cell r="A574" t="str">
            <v>CC09</v>
          </cell>
          <cell r="B574">
            <v>503</v>
          </cell>
          <cell r="C574" t="str">
            <v xml:space="preserve">Kunci KM Bulat Kualitas Biasa </v>
          </cell>
          <cell r="D574" t="str">
            <v>bh</v>
          </cell>
          <cell r="E574">
            <v>17500</v>
          </cell>
        </row>
        <row r="575">
          <cell r="A575" t="str">
            <v>CC10</v>
          </cell>
          <cell r="B575">
            <v>504</v>
          </cell>
          <cell r="C575" t="str">
            <v xml:space="preserve">Kunci  KM Bulat ALFA </v>
          </cell>
          <cell r="D575" t="str">
            <v>bh</v>
          </cell>
          <cell r="E575">
            <v>40500</v>
          </cell>
        </row>
        <row r="578">
          <cell r="A578" t="str">
            <v>CC11</v>
          </cell>
          <cell r="B578">
            <v>505</v>
          </cell>
          <cell r="C578" t="str">
            <v xml:space="preserve">Kunci 2 Slaag Silinder Utama Standard </v>
          </cell>
          <cell r="D578" t="str">
            <v>bh</v>
          </cell>
          <cell r="E578">
            <v>259000</v>
          </cell>
        </row>
        <row r="579">
          <cell r="A579" t="str">
            <v>CC12</v>
          </cell>
          <cell r="B579">
            <v>506</v>
          </cell>
          <cell r="C579" t="str">
            <v xml:space="preserve">Kunci Gembok Besar </v>
          </cell>
          <cell r="D579" t="str">
            <v>bh</v>
          </cell>
          <cell r="E579">
            <v>21000</v>
          </cell>
        </row>
        <row r="580">
          <cell r="A580" t="str">
            <v>CC13</v>
          </cell>
          <cell r="B580">
            <v>507</v>
          </cell>
          <cell r="C580" t="str">
            <v xml:space="preserve">Kunci 2 Slaag Kuda Terbang </v>
          </cell>
          <cell r="D580" t="str">
            <v>bh</v>
          </cell>
          <cell r="E580">
            <v>40500</v>
          </cell>
        </row>
        <row r="581">
          <cell r="A581" t="str">
            <v>CC14</v>
          </cell>
          <cell r="B581">
            <v>508</v>
          </cell>
          <cell r="C581" t="str">
            <v>Espangolet</v>
          </cell>
          <cell r="D581" t="str">
            <v>ps</v>
          </cell>
          <cell r="E581">
            <v>23000</v>
          </cell>
        </row>
        <row r="582">
          <cell r="A582" t="str">
            <v>CC15</v>
          </cell>
          <cell r="B582">
            <v>509</v>
          </cell>
          <cell r="C582" t="str">
            <v>Grendel 15 cm</v>
          </cell>
          <cell r="D582" t="str">
            <v>bh</v>
          </cell>
          <cell r="E582">
            <v>7000</v>
          </cell>
        </row>
        <row r="583">
          <cell r="A583" t="str">
            <v>CC16</v>
          </cell>
          <cell r="B583">
            <v>510</v>
          </cell>
          <cell r="C583" t="str">
            <v>Grendel 5 cm</v>
          </cell>
          <cell r="D583" t="str">
            <v>bh</v>
          </cell>
          <cell r="E583">
            <v>1750</v>
          </cell>
        </row>
        <row r="584">
          <cell r="A584" t="str">
            <v>CC17</v>
          </cell>
          <cell r="B584">
            <v>511</v>
          </cell>
          <cell r="C584" t="str">
            <v>Hak Angin Kait Jendela Biasa</v>
          </cell>
          <cell r="D584" t="str">
            <v>ps</v>
          </cell>
          <cell r="E584">
            <v>2500</v>
          </cell>
        </row>
        <row r="585">
          <cell r="A585" t="str">
            <v>CC18</v>
          </cell>
          <cell r="B585">
            <v>512</v>
          </cell>
          <cell r="C585" t="str">
            <v>Hak Angin Jendela Antik</v>
          </cell>
          <cell r="D585" t="str">
            <v>ps</v>
          </cell>
          <cell r="E585">
            <v>11500</v>
          </cell>
        </row>
        <row r="586">
          <cell r="A586" t="str">
            <v>CC19</v>
          </cell>
          <cell r="B586">
            <v>513</v>
          </cell>
          <cell r="C586" t="str">
            <v>Hak Angin Sendok Stainless / Kuningan</v>
          </cell>
          <cell r="D586" t="str">
            <v>bh</v>
          </cell>
          <cell r="E586">
            <v>26000</v>
          </cell>
        </row>
        <row r="587">
          <cell r="A587" t="str">
            <v>CC20</v>
          </cell>
          <cell r="B587">
            <v>514</v>
          </cell>
          <cell r="C587" t="str">
            <v>Nako Lengkap Tralis 1 Daun</v>
          </cell>
          <cell r="D587" t="str">
            <v>dn</v>
          </cell>
          <cell r="E587">
            <v>11500</v>
          </cell>
        </row>
        <row r="588">
          <cell r="A588" t="str">
            <v>CC21</v>
          </cell>
          <cell r="B588">
            <v>515</v>
          </cell>
          <cell r="C588" t="str">
            <v>Sloot Pintu berikut  Rantai</v>
          </cell>
          <cell r="D588" t="str">
            <v>bh</v>
          </cell>
          <cell r="E588">
            <v>40500</v>
          </cell>
        </row>
        <row r="589">
          <cell r="A589" t="str">
            <v>CC22</v>
          </cell>
          <cell r="B589">
            <v>516</v>
          </cell>
          <cell r="C589" t="str">
            <v>Sloot Jendela Tunggal</v>
          </cell>
          <cell r="D589" t="str">
            <v>bh</v>
          </cell>
          <cell r="E589">
            <v>8500</v>
          </cell>
        </row>
        <row r="590">
          <cell r="A590" t="str">
            <v>CC23</v>
          </cell>
          <cell r="B590">
            <v>517</v>
          </cell>
          <cell r="C590" t="str">
            <v>Engsel Pintu Unilon Standard</v>
          </cell>
          <cell r="D590" t="str">
            <v>ps</v>
          </cell>
          <cell r="E590">
            <v>8250</v>
          </cell>
        </row>
        <row r="591">
          <cell r="A591" t="str">
            <v>CC24</v>
          </cell>
          <cell r="B591">
            <v>518</v>
          </cell>
          <cell r="C591" t="str">
            <v>Engsel Jendela Unilon</v>
          </cell>
          <cell r="D591" t="str">
            <v>ps</v>
          </cell>
          <cell r="E591">
            <v>5750</v>
          </cell>
        </row>
        <row r="592">
          <cell r="A592" t="str">
            <v>CC25</v>
          </cell>
          <cell r="B592">
            <v>519</v>
          </cell>
          <cell r="C592" t="str">
            <v>Engsel Patrun</v>
          </cell>
          <cell r="D592" t="str">
            <v>ps</v>
          </cell>
          <cell r="E592">
            <v>3500</v>
          </cell>
        </row>
        <row r="593">
          <cell r="A593" t="str">
            <v>CC26</v>
          </cell>
          <cell r="B593">
            <v>520</v>
          </cell>
          <cell r="C593" t="str">
            <v>Engsel Harmonika</v>
          </cell>
          <cell r="D593" t="str">
            <v>m1</v>
          </cell>
          <cell r="E593">
            <v>4000</v>
          </cell>
        </row>
        <row r="594">
          <cell r="A594" t="str">
            <v>CC27</v>
          </cell>
          <cell r="B594">
            <v>521</v>
          </cell>
          <cell r="C594" t="str">
            <v>Door Closer Kelas Standard ( Kelas Sedang )</v>
          </cell>
          <cell r="D594" t="str">
            <v>unt</v>
          </cell>
          <cell r="E594">
            <v>201500</v>
          </cell>
        </row>
        <row r="595">
          <cell r="A595" t="str">
            <v>CC28</v>
          </cell>
          <cell r="B595">
            <v>522</v>
          </cell>
          <cell r="C595" t="str">
            <v>Door Closer Kelas Standard ( Kelas Baik )</v>
          </cell>
          <cell r="D595" t="str">
            <v>unt</v>
          </cell>
          <cell r="E595">
            <v>287500</v>
          </cell>
        </row>
        <row r="596">
          <cell r="A596" t="str">
            <v>CC29</v>
          </cell>
          <cell r="B596">
            <v>523</v>
          </cell>
          <cell r="C596" t="str">
            <v>Door Closer Kelas Rendah</v>
          </cell>
          <cell r="D596" t="str">
            <v>unt</v>
          </cell>
          <cell r="E596">
            <v>97500</v>
          </cell>
        </row>
        <row r="597">
          <cell r="A597" t="str">
            <v>CC30</v>
          </cell>
          <cell r="B597">
            <v>524</v>
          </cell>
          <cell r="C597" t="str">
            <v>Tarikan Almari Rata - rata</v>
          </cell>
          <cell r="D597" t="str">
            <v>bh</v>
          </cell>
          <cell r="E597">
            <v>6000</v>
          </cell>
        </row>
        <row r="598">
          <cell r="A598" t="str">
            <v>CC31</v>
          </cell>
          <cell r="B598">
            <v>525</v>
          </cell>
          <cell r="C598" t="str">
            <v>Seng BJLS 30 lebar 60cm (1 rol 50 m' )</v>
          </cell>
          <cell r="D598" t="str">
            <v>m1</v>
          </cell>
          <cell r="E598">
            <v>15500</v>
          </cell>
        </row>
        <row r="599">
          <cell r="A599" t="str">
            <v>CC32</v>
          </cell>
          <cell r="B599">
            <v>526</v>
          </cell>
          <cell r="C599" t="str">
            <v>Seng BJLS 30 lebar 90cm (1 rol 50 m' )</v>
          </cell>
          <cell r="D599" t="str">
            <v>m1</v>
          </cell>
          <cell r="E599">
            <v>22500</v>
          </cell>
        </row>
        <row r="601">
          <cell r="C601" t="str">
            <v>Q. BAHAN PENGIKAT UNTUK KONTRUKSI JALAN</v>
          </cell>
        </row>
        <row r="602">
          <cell r="A602" t="str">
            <v>CE01</v>
          </cell>
          <cell r="B602">
            <v>527</v>
          </cell>
          <cell r="C602" t="str">
            <v>Hotmix Jadi berikut alat dan bahan bakar ( T = 5 cm  =&gt; 9 m2 )</v>
          </cell>
          <cell r="D602" t="str">
            <v>ton</v>
          </cell>
          <cell r="E602">
            <v>256000</v>
          </cell>
        </row>
        <row r="603">
          <cell r="A603" t="str">
            <v>CE02</v>
          </cell>
          <cell r="B603">
            <v>528</v>
          </cell>
          <cell r="C603" t="str">
            <v>Aspal ( ESO ) 1 Drum 150 Kg</v>
          </cell>
          <cell r="D603" t="str">
            <v>kg</v>
          </cell>
          <cell r="E603">
            <v>2500</v>
          </cell>
        </row>
        <row r="604">
          <cell r="A604" t="str">
            <v>CE03</v>
          </cell>
          <cell r="B604">
            <v>529</v>
          </cell>
          <cell r="C604" t="str">
            <v>Aspal Curah</v>
          </cell>
          <cell r="D604" t="str">
            <v>kg</v>
          </cell>
          <cell r="E604">
            <v>2100</v>
          </cell>
        </row>
        <row r="605">
          <cell r="A605" t="str">
            <v>CE04</v>
          </cell>
          <cell r="B605">
            <v>530</v>
          </cell>
          <cell r="C605" t="str">
            <v>Aspal RC 70 ( Cilacap )</v>
          </cell>
          <cell r="D605" t="str">
            <v>kg</v>
          </cell>
          <cell r="E605">
            <v>2400</v>
          </cell>
        </row>
        <row r="607">
          <cell r="C607" t="str">
            <v>R. BAHAN PENGHISAP AIR SUMUR DALAM</v>
          </cell>
        </row>
        <row r="608">
          <cell r="A608" t="str">
            <v>CG01</v>
          </cell>
          <cell r="B608">
            <v>531</v>
          </cell>
          <cell r="C608" t="str">
            <v>Pompa Kodok</v>
          </cell>
          <cell r="D608" t="str">
            <v>unit</v>
          </cell>
          <cell r="E608">
            <v>92000</v>
          </cell>
        </row>
        <row r="609">
          <cell r="A609" t="str">
            <v>CG02</v>
          </cell>
          <cell r="B609">
            <v>532</v>
          </cell>
          <cell r="C609" t="str">
            <v xml:space="preserve">Pompa Dragon Tegal </v>
          </cell>
          <cell r="D609" t="str">
            <v>unit</v>
          </cell>
          <cell r="E609">
            <v>132300</v>
          </cell>
        </row>
        <row r="610">
          <cell r="A610" t="str">
            <v>CG03</v>
          </cell>
          <cell r="B610">
            <v>533</v>
          </cell>
          <cell r="C610" t="str">
            <v xml:space="preserve">Pompa Dragon Asli </v>
          </cell>
          <cell r="D610" t="str">
            <v>unit</v>
          </cell>
          <cell r="E610">
            <v>402500</v>
          </cell>
        </row>
        <row r="611">
          <cell r="A611" t="str">
            <v>CG04</v>
          </cell>
          <cell r="B611">
            <v>534</v>
          </cell>
          <cell r="C611" t="str">
            <v>Mesin Pompa Air 100 W - Sanyo</v>
          </cell>
          <cell r="D611" t="str">
            <v>unit</v>
          </cell>
          <cell r="E611">
            <v>632500</v>
          </cell>
        </row>
        <row r="612">
          <cell r="A612" t="str">
            <v>CG05</v>
          </cell>
          <cell r="B612">
            <v>535</v>
          </cell>
          <cell r="C612" t="str">
            <v>Mesin Pompa Air 150 W - Sanyo</v>
          </cell>
          <cell r="D612" t="str">
            <v>unit</v>
          </cell>
          <cell r="E612">
            <v>1092500</v>
          </cell>
        </row>
        <row r="613">
          <cell r="A613" t="str">
            <v>CG06</v>
          </cell>
          <cell r="B613">
            <v>536</v>
          </cell>
          <cell r="C613" t="str">
            <v>Pompa Zet pump 250 W - Sanyo</v>
          </cell>
          <cell r="D613" t="str">
            <v>unit</v>
          </cell>
          <cell r="E613">
            <v>3750000</v>
          </cell>
        </row>
        <row r="614">
          <cell r="A614" t="str">
            <v>CG07</v>
          </cell>
          <cell r="B614">
            <v>537</v>
          </cell>
          <cell r="C614" t="str">
            <v>Pompa Zet pump 450 W - Sanyo</v>
          </cell>
          <cell r="D614" t="str">
            <v>unit</v>
          </cell>
          <cell r="E614">
            <v>4550000</v>
          </cell>
        </row>
        <row r="615">
          <cell r="A615" t="str">
            <v>CG08</v>
          </cell>
          <cell r="B615">
            <v>538</v>
          </cell>
          <cell r="C615" t="str">
            <v>Pompa Submersible kap. 150 liter/menit 3 kW</v>
          </cell>
          <cell r="D615" t="str">
            <v>unit</v>
          </cell>
          <cell r="E615">
            <v>16500000</v>
          </cell>
        </row>
        <row r="619">
          <cell r="A619" t="str">
            <v>CG09</v>
          </cell>
          <cell r="B619">
            <v>539</v>
          </cell>
          <cell r="C619" t="str">
            <v xml:space="preserve">Gear Pump kap. 60 liter/menit </v>
          </cell>
          <cell r="D619" t="str">
            <v>unit</v>
          </cell>
          <cell r="E619">
            <v>9500000</v>
          </cell>
        </row>
        <row r="620">
          <cell r="A620" t="str">
            <v>CG10</v>
          </cell>
          <cell r="B620">
            <v>540</v>
          </cell>
          <cell r="C620" t="str">
            <v xml:space="preserve">Deep Well dengan kelengkapannya kap. 150 liter/menit </v>
          </cell>
          <cell r="D620" t="str">
            <v>unit</v>
          </cell>
          <cell r="E620">
            <v>140000000</v>
          </cell>
        </row>
        <row r="621">
          <cell r="A621" t="str">
            <v>CG11</v>
          </cell>
          <cell r="B621">
            <v>541</v>
          </cell>
          <cell r="C621" t="str">
            <v xml:space="preserve">Hand Oil Pump </v>
          </cell>
          <cell r="D621" t="str">
            <v>unit</v>
          </cell>
          <cell r="E621">
            <v>2875000</v>
          </cell>
        </row>
        <row r="623">
          <cell r="C623" t="str">
            <v>S. BAHAN PENAMPUNG AIR</v>
          </cell>
        </row>
        <row r="624">
          <cell r="A624" t="str">
            <v>CI01</v>
          </cell>
          <cell r="B624">
            <v>542</v>
          </cell>
          <cell r="C624" t="str">
            <v>Tangki Air Fiber Glass 0.5 m3 ( Excel )</v>
          </cell>
          <cell r="D624" t="str">
            <v>bh</v>
          </cell>
          <cell r="E624">
            <v>345000</v>
          </cell>
        </row>
        <row r="625">
          <cell r="A625" t="str">
            <v>CI02</v>
          </cell>
          <cell r="B625">
            <v>543</v>
          </cell>
          <cell r="C625" t="str">
            <v>Tangki Air Fiber Glass 1 m3 ( Excel )</v>
          </cell>
          <cell r="D625" t="str">
            <v>bh</v>
          </cell>
          <cell r="E625">
            <v>546000</v>
          </cell>
        </row>
        <row r="626">
          <cell r="A626" t="str">
            <v>CI03</v>
          </cell>
          <cell r="B626">
            <v>544</v>
          </cell>
          <cell r="C626" t="str">
            <v>Tangki Air Fiber Glass 2 m3 ( Excel )</v>
          </cell>
          <cell r="D626" t="str">
            <v>bh</v>
          </cell>
          <cell r="E626">
            <v>1092000</v>
          </cell>
        </row>
        <row r="627">
          <cell r="A627" t="str">
            <v>CI04</v>
          </cell>
          <cell r="B627">
            <v>545</v>
          </cell>
          <cell r="C627" t="str">
            <v>Bak KM Fiber 60 x 60</v>
          </cell>
          <cell r="D627" t="str">
            <v>bh</v>
          </cell>
          <cell r="E627">
            <v>109300</v>
          </cell>
        </row>
        <row r="628">
          <cell r="A628" t="str">
            <v>CI05</v>
          </cell>
          <cell r="B628">
            <v>546</v>
          </cell>
          <cell r="C628" t="str">
            <v>Bak Taraso WC 40 x 40</v>
          </cell>
          <cell r="D628" t="str">
            <v>bh</v>
          </cell>
          <cell r="E628">
            <v>23000</v>
          </cell>
        </row>
        <row r="629">
          <cell r="A629" t="str">
            <v>CI06</v>
          </cell>
          <cell r="B629">
            <v>547</v>
          </cell>
          <cell r="C629" t="str">
            <v>Bak KM Taraso 60 x 60</v>
          </cell>
          <cell r="D629" t="str">
            <v>bh</v>
          </cell>
          <cell r="E629">
            <v>69000</v>
          </cell>
        </row>
        <row r="631">
          <cell r="C631" t="str">
            <v>T. BIAYA QUALITY CONTROL , IZIN - IZIN, PENGUKURAN</v>
          </cell>
        </row>
        <row r="632">
          <cell r="C632" t="str">
            <v xml:space="preserve">    BIASA DAN BIAYA PENYAMBUNGAN</v>
          </cell>
        </row>
        <row r="633">
          <cell r="A633" t="str">
            <v>CJ01</v>
          </cell>
          <cell r="B633">
            <v>548</v>
          </cell>
          <cell r="C633" t="str">
            <v>Penyambungan Listrik PLN</v>
          </cell>
          <cell r="D633" t="str">
            <v>1w</v>
          </cell>
          <cell r="E633">
            <v>500</v>
          </cell>
        </row>
        <row r="634">
          <cell r="A634" t="str">
            <v>CJ02</v>
          </cell>
          <cell r="B634">
            <v>549</v>
          </cell>
          <cell r="C634" t="str">
            <v>IMB Bertingkat Rata - rata (Rumah / Kantor)</v>
          </cell>
          <cell r="D634" t="str">
            <v>m²</v>
          </cell>
          <cell r="E634">
            <v>17500</v>
          </cell>
        </row>
        <row r="635">
          <cell r="A635" t="str">
            <v>CJ03</v>
          </cell>
          <cell r="B635">
            <v>550</v>
          </cell>
          <cell r="C635" t="str">
            <v>IMB tidak bertingkat Rata - rata (Rumah / Kantor)</v>
          </cell>
          <cell r="D635" t="str">
            <v>m²</v>
          </cell>
          <cell r="E635">
            <v>16000</v>
          </cell>
        </row>
        <row r="636">
          <cell r="A636" t="str">
            <v>CJ04</v>
          </cell>
          <cell r="B636">
            <v>551</v>
          </cell>
          <cell r="C636" t="str">
            <v>IMB Bertingkat Rata - rata (untuk Usaha)</v>
          </cell>
          <cell r="D636" t="str">
            <v>m²</v>
          </cell>
          <cell r="E636">
            <v>20000</v>
          </cell>
        </row>
        <row r="637">
          <cell r="A637" t="str">
            <v>CJ05</v>
          </cell>
          <cell r="B637">
            <v>552</v>
          </cell>
          <cell r="C637" t="str">
            <v>IMB tidak bertingkat Rata - rata (untuk Usaha)</v>
          </cell>
          <cell r="D637" t="str">
            <v>m²</v>
          </cell>
          <cell r="E637">
            <v>17500</v>
          </cell>
        </row>
        <row r="638">
          <cell r="A638" t="str">
            <v>CJ06</v>
          </cell>
          <cell r="B638">
            <v>553</v>
          </cell>
          <cell r="C638" t="str">
            <v>Sondir Rata - rata</v>
          </cell>
          <cell r="D638" t="str">
            <v>1 ttk</v>
          </cell>
          <cell r="E638">
            <v>175000</v>
          </cell>
        </row>
        <row r="639">
          <cell r="A639" t="str">
            <v>CJ07</v>
          </cell>
          <cell r="B639">
            <v>554</v>
          </cell>
          <cell r="C639" t="str">
            <v>Pengukuran Site + Patok</v>
          </cell>
          <cell r="D639" t="str">
            <v>m²</v>
          </cell>
          <cell r="E639">
            <v>500</v>
          </cell>
        </row>
        <row r="640">
          <cell r="A640" t="str">
            <v>CJ08</v>
          </cell>
          <cell r="B640">
            <v>555</v>
          </cell>
          <cell r="C640" t="str">
            <v>Biaya Tes Jalan ( quality control )</v>
          </cell>
          <cell r="D640" t="str">
            <v>ttk</v>
          </cell>
          <cell r="E640">
            <v>69000</v>
          </cell>
        </row>
        <row r="642">
          <cell r="A642" t="str">
            <v>CJ09</v>
          </cell>
          <cell r="B642">
            <v>556</v>
          </cell>
          <cell r="C642" t="str">
            <v>Biaya Tes 1 Macam Beton</v>
          </cell>
          <cell r="D642" t="str">
            <v>1 spl</v>
          </cell>
          <cell r="E642">
            <v>149500</v>
          </cell>
        </row>
        <row r="643">
          <cell r="A643" t="str">
            <v>CJ10</v>
          </cell>
          <cell r="B643">
            <v>557</v>
          </cell>
          <cell r="C643" t="str">
            <v>Biaya Pengujian Bahan Agregat</v>
          </cell>
          <cell r="D643" t="str">
            <v>1 spl</v>
          </cell>
          <cell r="E643">
            <v>51800</v>
          </cell>
        </row>
        <row r="644">
          <cell r="A644" t="str">
            <v>CJ11</v>
          </cell>
          <cell r="B644">
            <v>558</v>
          </cell>
          <cell r="C644" t="str">
            <v>Biaya Pengujian Listrik</v>
          </cell>
          <cell r="D644" t="str">
            <v>1 watt</v>
          </cell>
          <cell r="E644">
            <v>250</v>
          </cell>
        </row>
        <row r="645">
          <cell r="A645" t="str">
            <v>CJ12</v>
          </cell>
          <cell r="B645">
            <v>559</v>
          </cell>
          <cell r="C645" t="str">
            <v>Izin Sumur Artesis Lengkap</v>
          </cell>
          <cell r="D645" t="str">
            <v>unit</v>
          </cell>
          <cell r="E645">
            <v>5000000</v>
          </cell>
        </row>
        <row r="646">
          <cell r="A646" t="str">
            <v>CJ13</v>
          </cell>
          <cell r="B646">
            <v>560</v>
          </cell>
          <cell r="C646" t="str">
            <v>Penyambungan PDAM untuk rumah</v>
          </cell>
          <cell r="D646" t="str">
            <v>unit</v>
          </cell>
          <cell r="E646">
            <v>525000</v>
          </cell>
        </row>
        <row r="647">
          <cell r="A647" t="str">
            <v>CJ14</v>
          </cell>
          <cell r="B647">
            <v>561</v>
          </cell>
          <cell r="C647" t="str">
            <v>Geolistrik</v>
          </cell>
          <cell r="D647" t="str">
            <v>1 ttk</v>
          </cell>
          <cell r="E647">
            <v>250000</v>
          </cell>
        </row>
        <row r="649">
          <cell r="C649" t="str">
            <v>U. ALAT TUKANG.</v>
          </cell>
        </row>
        <row r="650">
          <cell r="A650" t="str">
            <v>CL01</v>
          </cell>
          <cell r="B650">
            <v>562</v>
          </cell>
          <cell r="C650" t="str">
            <v>Palu 0,5 kg</v>
          </cell>
          <cell r="D650" t="str">
            <v>bh</v>
          </cell>
          <cell r="E650">
            <v>17500</v>
          </cell>
        </row>
        <row r="651">
          <cell r="A651" t="str">
            <v>CL02</v>
          </cell>
          <cell r="B651">
            <v>563</v>
          </cell>
          <cell r="C651" t="str">
            <v>Cangkul</v>
          </cell>
          <cell r="D651" t="str">
            <v>bh</v>
          </cell>
          <cell r="E651">
            <v>25000</v>
          </cell>
        </row>
        <row r="652">
          <cell r="A652" t="str">
            <v>CL03</v>
          </cell>
          <cell r="B652">
            <v>564</v>
          </cell>
          <cell r="C652" t="str">
            <v>Singkup</v>
          </cell>
          <cell r="D652" t="str">
            <v>bh</v>
          </cell>
          <cell r="E652">
            <v>20000</v>
          </cell>
        </row>
        <row r="653">
          <cell r="A653" t="str">
            <v>CL04</v>
          </cell>
          <cell r="B653">
            <v>565</v>
          </cell>
          <cell r="C653" t="str">
            <v>Sekrop</v>
          </cell>
          <cell r="D653" t="str">
            <v>bh</v>
          </cell>
          <cell r="E653">
            <v>30000</v>
          </cell>
        </row>
        <row r="654">
          <cell r="A654" t="str">
            <v>CL05</v>
          </cell>
          <cell r="B654">
            <v>566</v>
          </cell>
          <cell r="C654" t="str">
            <v>Pengki</v>
          </cell>
          <cell r="D654" t="str">
            <v>bh</v>
          </cell>
          <cell r="E654">
            <v>1750</v>
          </cell>
        </row>
        <row r="655">
          <cell r="A655" t="str">
            <v>CL06</v>
          </cell>
          <cell r="B655">
            <v>567</v>
          </cell>
          <cell r="C655" t="str">
            <v>Linggis</v>
          </cell>
          <cell r="D655" t="str">
            <v>bh</v>
          </cell>
          <cell r="E655">
            <v>20000</v>
          </cell>
        </row>
        <row r="660">
          <cell r="A660" t="str">
            <v>CL07</v>
          </cell>
          <cell r="B660">
            <v>568</v>
          </cell>
          <cell r="C660" t="str">
            <v>Rool Meter 30 meter ( Bahan Plastik )</v>
          </cell>
          <cell r="D660" t="str">
            <v>bh</v>
          </cell>
          <cell r="E660">
            <v>60000</v>
          </cell>
        </row>
        <row r="661">
          <cell r="A661" t="str">
            <v>CL08</v>
          </cell>
          <cell r="B661">
            <v>569</v>
          </cell>
          <cell r="C661" t="str">
            <v>Rool Meter 5 meter ( Bahan Besi )</v>
          </cell>
          <cell r="D661" t="str">
            <v>bh</v>
          </cell>
          <cell r="E661">
            <v>20000</v>
          </cell>
        </row>
        <row r="662">
          <cell r="A662" t="str">
            <v>CL09</v>
          </cell>
          <cell r="B662">
            <v>570</v>
          </cell>
          <cell r="C662" t="str">
            <v xml:space="preserve">Selang Plastik untuk Water Pas dia. 0.5 cm </v>
          </cell>
          <cell r="D662" t="str">
            <v>bh</v>
          </cell>
          <cell r="E662">
            <v>750</v>
          </cell>
        </row>
        <row r="663">
          <cell r="A663" t="str">
            <v>CL10</v>
          </cell>
          <cell r="B663">
            <v>571</v>
          </cell>
          <cell r="C663" t="str">
            <v xml:space="preserve"> Water Pas Alumuniumm 60 cm </v>
          </cell>
          <cell r="D663" t="str">
            <v>bh</v>
          </cell>
          <cell r="E663">
            <v>50000</v>
          </cell>
        </row>
        <row r="665">
          <cell r="C665" t="str">
            <v xml:space="preserve">V. STANDARD RATA - RATA SEWA ALAT BESAR , ALAT MEKANIK </v>
          </cell>
        </row>
        <row r="666">
          <cell r="C666" t="str">
            <v xml:space="preserve">      TRUK, KENDARAAN RODA 4 &amp; LAINNYA</v>
          </cell>
        </row>
        <row r="667">
          <cell r="A667" t="str">
            <v>CN01</v>
          </cell>
          <cell r="B667">
            <v>572</v>
          </cell>
          <cell r="C667" t="str">
            <v>Sewa Mesin Gilas 8 Ton s/d 10 ton</v>
          </cell>
          <cell r="D667" t="str">
            <v>hari</v>
          </cell>
          <cell r="E667">
            <v>125000</v>
          </cell>
        </row>
        <row r="668">
          <cell r="A668" t="str">
            <v>CN02</v>
          </cell>
          <cell r="B668">
            <v>573</v>
          </cell>
          <cell r="C668" t="str">
            <v>Tirud Roller 3 Jam / hari</v>
          </cell>
          <cell r="D668" t="str">
            <v>hari</v>
          </cell>
          <cell r="E668">
            <v>138000</v>
          </cell>
        </row>
        <row r="669">
          <cell r="A669" t="str">
            <v>CN03</v>
          </cell>
          <cell r="B669">
            <v>574</v>
          </cell>
          <cell r="C669" t="str">
            <v>Tamdam Roller 6 - 8 Ton 5 Jam / hr</v>
          </cell>
          <cell r="D669" t="str">
            <v>hari</v>
          </cell>
          <cell r="E669">
            <v>230000</v>
          </cell>
        </row>
        <row r="670">
          <cell r="A670" t="str">
            <v>CN04</v>
          </cell>
          <cell r="B670">
            <v>575</v>
          </cell>
          <cell r="C670" t="str">
            <v>Tamdam Roller 8 - 10 Ton 5 Jam / hr</v>
          </cell>
          <cell r="D670" t="str">
            <v>hari</v>
          </cell>
          <cell r="E670">
            <v>225000</v>
          </cell>
        </row>
        <row r="671">
          <cell r="A671" t="str">
            <v>CN05</v>
          </cell>
          <cell r="B671">
            <v>576</v>
          </cell>
          <cell r="C671" t="str">
            <v>Roller Viberator - Ped 1 Ton 4 Jam /hr</v>
          </cell>
          <cell r="D671" t="str">
            <v>hari</v>
          </cell>
          <cell r="E671">
            <v>180000</v>
          </cell>
        </row>
        <row r="672">
          <cell r="A672" t="str">
            <v>CN06</v>
          </cell>
          <cell r="B672">
            <v>577</v>
          </cell>
          <cell r="C672" t="str">
            <v>Roller Viberator - Self 7 Ton 5 Jam /hr</v>
          </cell>
          <cell r="D672" t="str">
            <v>hari</v>
          </cell>
          <cell r="E672">
            <v>230000</v>
          </cell>
        </row>
        <row r="673">
          <cell r="A673" t="str">
            <v>CN07</v>
          </cell>
          <cell r="B673">
            <v>578</v>
          </cell>
          <cell r="C673" t="str">
            <v>Roller 3 Wheeled - 8 Ton 5 Jam /hr</v>
          </cell>
          <cell r="D673" t="str">
            <v>hari</v>
          </cell>
          <cell r="E673">
            <v>145000</v>
          </cell>
        </row>
        <row r="674">
          <cell r="A674" t="str">
            <v>CN08</v>
          </cell>
          <cell r="B674">
            <v>579</v>
          </cell>
          <cell r="C674" t="str">
            <v>Roller Pneumatic  8 - 15 Ton 5 Jam /hr</v>
          </cell>
          <cell r="D674" t="str">
            <v>hari</v>
          </cell>
          <cell r="E674">
            <v>250000</v>
          </cell>
        </row>
        <row r="675">
          <cell r="A675" t="str">
            <v>CN09</v>
          </cell>
          <cell r="B675">
            <v>580</v>
          </cell>
          <cell r="C675" t="str">
            <v>Loader Wheeled 5 Jam /hr</v>
          </cell>
          <cell r="D675" t="str">
            <v>hari</v>
          </cell>
          <cell r="E675">
            <v>350000</v>
          </cell>
        </row>
        <row r="676">
          <cell r="A676" t="str">
            <v>CN10</v>
          </cell>
          <cell r="B676">
            <v>581</v>
          </cell>
          <cell r="C676" t="str">
            <v>Sewa Kran 30 Ton</v>
          </cell>
          <cell r="D676" t="str">
            <v>hari</v>
          </cell>
          <cell r="E676">
            <v>1800000</v>
          </cell>
        </row>
        <row r="677">
          <cell r="A677" t="str">
            <v>CN11</v>
          </cell>
          <cell r="B677">
            <v>582</v>
          </cell>
          <cell r="C677" t="str">
            <v>Sewa Exavator Backhoe 5 Jam /hari</v>
          </cell>
          <cell r="D677" t="str">
            <v>hari</v>
          </cell>
          <cell r="E677">
            <v>525000</v>
          </cell>
        </row>
        <row r="678">
          <cell r="A678" t="str">
            <v>CN12</v>
          </cell>
          <cell r="B678">
            <v>583</v>
          </cell>
          <cell r="C678" t="str">
            <v>Sewa Draklint</v>
          </cell>
          <cell r="D678" t="str">
            <v>jam</v>
          </cell>
          <cell r="E678">
            <v>125000</v>
          </cell>
        </row>
        <row r="679">
          <cell r="A679" t="str">
            <v>CN13</v>
          </cell>
          <cell r="B679">
            <v>584</v>
          </cell>
          <cell r="C679" t="str">
            <v>Whell Loader</v>
          </cell>
          <cell r="D679" t="str">
            <v>jam</v>
          </cell>
          <cell r="E679">
            <v>105000</v>
          </cell>
        </row>
        <row r="680">
          <cell r="A680" t="str">
            <v>CN14</v>
          </cell>
          <cell r="B680">
            <v>585</v>
          </cell>
          <cell r="C680" t="str">
            <v>Buldozer 4 Jam /hr</v>
          </cell>
          <cell r="D680" t="str">
            <v>hari</v>
          </cell>
          <cell r="E680">
            <v>475000</v>
          </cell>
        </row>
        <row r="681">
          <cell r="A681" t="str">
            <v>CN15</v>
          </cell>
          <cell r="B681">
            <v>586</v>
          </cell>
          <cell r="C681" t="str">
            <v>Ecavator Hydr 1 m3</v>
          </cell>
          <cell r="D681" t="str">
            <v>hari</v>
          </cell>
          <cell r="E681">
            <v>550000</v>
          </cell>
        </row>
        <row r="682">
          <cell r="A682" t="str">
            <v>CN16</v>
          </cell>
          <cell r="B682">
            <v>587</v>
          </cell>
          <cell r="C682" t="str">
            <v>Backu</v>
          </cell>
          <cell r="D682" t="str">
            <v>hari</v>
          </cell>
          <cell r="E682">
            <v>100000</v>
          </cell>
        </row>
        <row r="683">
          <cell r="A683" t="str">
            <v>CN17</v>
          </cell>
          <cell r="B683">
            <v>588</v>
          </cell>
          <cell r="C683" t="str">
            <v>Motor Grader 5 Jam /hr</v>
          </cell>
          <cell r="D683" t="str">
            <v>jam</v>
          </cell>
          <cell r="E683">
            <v>425000</v>
          </cell>
        </row>
        <row r="684">
          <cell r="A684" t="str">
            <v>CN18</v>
          </cell>
          <cell r="B684">
            <v>589</v>
          </cell>
          <cell r="C684" t="str">
            <v>Pheumatic Drill Hammer 3 Jam / hr</v>
          </cell>
          <cell r="D684" t="str">
            <v>hari</v>
          </cell>
          <cell r="E684">
            <v>175000</v>
          </cell>
        </row>
        <row r="685">
          <cell r="A685" t="str">
            <v>CN19</v>
          </cell>
          <cell r="B685">
            <v>590</v>
          </cell>
          <cell r="C685" t="str">
            <v>Vibro Roller</v>
          </cell>
          <cell r="D685" t="str">
            <v>hari</v>
          </cell>
          <cell r="E685">
            <v>75000</v>
          </cell>
        </row>
        <row r="686">
          <cell r="A686" t="str">
            <v>CN20</v>
          </cell>
          <cell r="B686">
            <v>591</v>
          </cell>
          <cell r="C686" t="str">
            <v>Stone Crusher</v>
          </cell>
          <cell r="D686" t="str">
            <v>hari</v>
          </cell>
          <cell r="E686">
            <v>175000</v>
          </cell>
        </row>
        <row r="687">
          <cell r="A687" t="str">
            <v>CN21</v>
          </cell>
          <cell r="B687">
            <v>592</v>
          </cell>
          <cell r="C687" t="str">
            <v>AMP</v>
          </cell>
          <cell r="D687" t="str">
            <v>hari</v>
          </cell>
          <cell r="E687">
            <v>175000</v>
          </cell>
        </row>
        <row r="688">
          <cell r="A688" t="str">
            <v>CN22</v>
          </cell>
          <cell r="B688">
            <v>593</v>
          </cell>
          <cell r="C688" t="str">
            <v>Teractor Equament 2 Jam /hr</v>
          </cell>
          <cell r="D688" t="str">
            <v>hari</v>
          </cell>
          <cell r="E688">
            <v>60000</v>
          </cell>
        </row>
        <row r="689">
          <cell r="A689" t="str">
            <v>CN23</v>
          </cell>
          <cell r="B689">
            <v>594</v>
          </cell>
          <cell r="C689" t="str">
            <v>Screning Plent 5 Jam /hr</v>
          </cell>
          <cell r="D689" t="str">
            <v>hari</v>
          </cell>
          <cell r="E689">
            <v>300000</v>
          </cell>
        </row>
        <row r="690">
          <cell r="A690" t="str">
            <v>CN24</v>
          </cell>
          <cell r="B690">
            <v>595</v>
          </cell>
          <cell r="C690" t="str">
            <v>Asphal Finisher</v>
          </cell>
          <cell r="D690" t="str">
            <v>hari</v>
          </cell>
          <cell r="E690">
            <v>175000</v>
          </cell>
        </row>
        <row r="691">
          <cell r="A691" t="str">
            <v>CN25</v>
          </cell>
          <cell r="B691">
            <v>596</v>
          </cell>
          <cell r="C691" t="str">
            <v>Asphal Melting Kalte</v>
          </cell>
          <cell r="D691" t="str">
            <v>hari</v>
          </cell>
          <cell r="E691">
            <v>95000</v>
          </cell>
        </row>
        <row r="692">
          <cell r="A692" t="str">
            <v>CN26</v>
          </cell>
          <cell r="B692">
            <v>597</v>
          </cell>
          <cell r="C692" t="str">
            <v>Asphal Spayer</v>
          </cell>
          <cell r="D692" t="str">
            <v>hari</v>
          </cell>
          <cell r="E692">
            <v>75000</v>
          </cell>
        </row>
        <row r="693">
          <cell r="A693" t="str">
            <v>CN27</v>
          </cell>
          <cell r="B693">
            <v>598</v>
          </cell>
          <cell r="C693" t="str">
            <v>Asphal MIxing Plant</v>
          </cell>
          <cell r="D693" t="str">
            <v>hari</v>
          </cell>
          <cell r="E693">
            <v>650000</v>
          </cell>
        </row>
        <row r="694">
          <cell r="A694" t="str">
            <v>CN28</v>
          </cell>
          <cell r="B694">
            <v>599</v>
          </cell>
          <cell r="C694" t="str">
            <v>Sprayer,Self - Prop. 10001 4 Jam/hr</v>
          </cell>
          <cell r="D694" t="str">
            <v>hari</v>
          </cell>
          <cell r="E694">
            <v>105000</v>
          </cell>
        </row>
        <row r="695">
          <cell r="A695" t="str">
            <v>CN29</v>
          </cell>
          <cell r="B695">
            <v>600</v>
          </cell>
          <cell r="C695" t="str">
            <v>Tamper, Viberator Plate 3 Jam /hari</v>
          </cell>
          <cell r="D695" t="str">
            <v>hari</v>
          </cell>
          <cell r="E695">
            <v>20000</v>
          </cell>
        </row>
        <row r="696">
          <cell r="A696" t="str">
            <v>CN30</v>
          </cell>
          <cell r="B696">
            <v>601</v>
          </cell>
          <cell r="C696" t="str">
            <v>Crusher / SCR</v>
          </cell>
          <cell r="D696" t="str">
            <v>hari</v>
          </cell>
          <cell r="E696">
            <v>750000</v>
          </cell>
        </row>
        <row r="697">
          <cell r="A697" t="str">
            <v>CN31</v>
          </cell>
          <cell r="B697">
            <v>602</v>
          </cell>
          <cell r="C697" t="str">
            <v>Concrete Mixer 0.125 m3</v>
          </cell>
          <cell r="D697" t="str">
            <v>hari</v>
          </cell>
          <cell r="E697">
            <v>60000</v>
          </cell>
        </row>
        <row r="698">
          <cell r="A698" t="str">
            <v>CN32</v>
          </cell>
          <cell r="B698">
            <v>603</v>
          </cell>
          <cell r="C698" t="str">
            <v>Concrete Mixer 0.5 m3</v>
          </cell>
          <cell r="D698" t="str">
            <v>hari</v>
          </cell>
          <cell r="E698">
            <v>86000</v>
          </cell>
        </row>
        <row r="699">
          <cell r="A699" t="str">
            <v>CN33</v>
          </cell>
          <cell r="B699">
            <v>604</v>
          </cell>
          <cell r="C699" t="str">
            <v>Concrete Viberator</v>
          </cell>
          <cell r="D699" t="str">
            <v>hari</v>
          </cell>
          <cell r="E699">
            <v>35000</v>
          </cell>
        </row>
        <row r="700">
          <cell r="A700" t="str">
            <v>CN34</v>
          </cell>
          <cell r="B700">
            <v>605</v>
          </cell>
          <cell r="C700" t="str">
            <v>Pick Up</v>
          </cell>
          <cell r="D700" t="str">
            <v>hari</v>
          </cell>
          <cell r="E700">
            <v>175000</v>
          </cell>
        </row>
        <row r="703">
          <cell r="A703" t="str">
            <v>CN35</v>
          </cell>
          <cell r="B703">
            <v>606</v>
          </cell>
          <cell r="C703" t="str">
            <v>Dump Truck 3.5 Ton</v>
          </cell>
          <cell r="D703" t="str">
            <v>hari</v>
          </cell>
          <cell r="E703">
            <v>230000</v>
          </cell>
        </row>
        <row r="704">
          <cell r="A704" t="str">
            <v>CN36</v>
          </cell>
          <cell r="B704">
            <v>607</v>
          </cell>
          <cell r="C704" t="str">
            <v>Dump Truck 5 Ton 4 Jam /hr</v>
          </cell>
          <cell r="D704" t="str">
            <v>hari</v>
          </cell>
          <cell r="E704">
            <v>260000</v>
          </cell>
        </row>
        <row r="705">
          <cell r="A705" t="str">
            <v>CN37</v>
          </cell>
          <cell r="B705">
            <v>608</v>
          </cell>
          <cell r="C705" t="str">
            <v>Flatbed Truck 3.5 Ton</v>
          </cell>
          <cell r="D705" t="str">
            <v>hari</v>
          </cell>
          <cell r="E705">
            <v>240000</v>
          </cell>
        </row>
        <row r="706">
          <cell r="A706" t="str">
            <v>CN38</v>
          </cell>
          <cell r="B706">
            <v>609</v>
          </cell>
          <cell r="C706" t="str">
            <v>Truck 3/4 ( Colt Disel )</v>
          </cell>
          <cell r="D706" t="str">
            <v>hari</v>
          </cell>
          <cell r="E706">
            <v>200000</v>
          </cell>
        </row>
        <row r="707">
          <cell r="A707" t="str">
            <v>CN39</v>
          </cell>
          <cell r="B707">
            <v>610</v>
          </cell>
          <cell r="C707" t="str">
            <v>Truck Fuso</v>
          </cell>
          <cell r="D707" t="str">
            <v>hari</v>
          </cell>
          <cell r="E707">
            <v>280000</v>
          </cell>
        </row>
        <row r="708">
          <cell r="A708" t="str">
            <v>CN40</v>
          </cell>
          <cell r="B708">
            <v>611</v>
          </cell>
          <cell r="C708" t="str">
            <v>Mesin Las Listrik 18 pk  8 jam</v>
          </cell>
          <cell r="D708" t="str">
            <v>hari</v>
          </cell>
          <cell r="E708">
            <v>80000</v>
          </cell>
        </row>
        <row r="709">
          <cell r="A709" t="str">
            <v>CN41</v>
          </cell>
          <cell r="B709">
            <v>612</v>
          </cell>
          <cell r="C709" t="str">
            <v>Mesin Pompa Air  3 "</v>
          </cell>
          <cell r="D709" t="str">
            <v>hari</v>
          </cell>
          <cell r="E709">
            <v>75000</v>
          </cell>
        </row>
        <row r="710">
          <cell r="A710" t="str">
            <v>CN42</v>
          </cell>
          <cell r="B710">
            <v>613</v>
          </cell>
          <cell r="C710" t="str">
            <v>Stamper 8 Jam</v>
          </cell>
          <cell r="D710" t="str">
            <v>hari</v>
          </cell>
          <cell r="E710">
            <v>50000</v>
          </cell>
        </row>
        <row r="711">
          <cell r="A711" t="str">
            <v>CN43</v>
          </cell>
          <cell r="B711">
            <v>614</v>
          </cell>
          <cell r="C711" t="str">
            <v>Compresor Air</v>
          </cell>
          <cell r="D711" t="str">
            <v>hari</v>
          </cell>
          <cell r="E711">
            <v>75000</v>
          </cell>
        </row>
        <row r="712">
          <cell r="A712" t="str">
            <v>CN44</v>
          </cell>
          <cell r="B712">
            <v>615</v>
          </cell>
          <cell r="C712" t="str">
            <v>Pump Water ( 5 cm ) 30 m3 / hari</v>
          </cell>
          <cell r="D712" t="str">
            <v>hari</v>
          </cell>
          <cell r="E712">
            <v>50000</v>
          </cell>
        </row>
        <row r="713">
          <cell r="A713" t="str">
            <v>CN45</v>
          </cell>
          <cell r="B713">
            <v>616</v>
          </cell>
          <cell r="C713" t="str">
            <v>Trailler, Towed 1 Ton 3 Jam/hr</v>
          </cell>
          <cell r="D713" t="str">
            <v>hari</v>
          </cell>
          <cell r="E713">
            <v>30000</v>
          </cell>
        </row>
        <row r="714">
          <cell r="A714" t="str">
            <v>CN46</v>
          </cell>
          <cell r="B714">
            <v>617</v>
          </cell>
          <cell r="C714" t="str">
            <v>Water Tank Truck 2 Jam/hr</v>
          </cell>
          <cell r="D714" t="str">
            <v>hari</v>
          </cell>
          <cell r="E714">
            <v>150000</v>
          </cell>
        </row>
        <row r="716">
          <cell r="C716" t="str">
            <v>X. BAHAN BAKAR DAN PELUMAS</v>
          </cell>
        </row>
        <row r="717">
          <cell r="A717" t="str">
            <v>CP01</v>
          </cell>
          <cell r="B717">
            <v>618</v>
          </cell>
          <cell r="C717" t="str">
            <v>Minyak Tanah</v>
          </cell>
          <cell r="D717" t="str">
            <v>lt</v>
          </cell>
          <cell r="E717">
            <v>500</v>
          </cell>
        </row>
        <row r="718">
          <cell r="A718" t="str">
            <v>CP02</v>
          </cell>
          <cell r="B718">
            <v>619</v>
          </cell>
          <cell r="C718" t="str">
            <v>Kayu Bakar Dari Kayu  Karet</v>
          </cell>
          <cell r="D718" t="str">
            <v>m³</v>
          </cell>
          <cell r="E718">
            <v>45000</v>
          </cell>
        </row>
        <row r="719">
          <cell r="A719" t="str">
            <v>CP03</v>
          </cell>
          <cell r="B719">
            <v>620</v>
          </cell>
          <cell r="C719" t="str">
            <v>Bahan Bakar Residu</v>
          </cell>
          <cell r="D719" t="str">
            <v>lt</v>
          </cell>
          <cell r="E719">
            <v>300</v>
          </cell>
        </row>
        <row r="720">
          <cell r="A720" t="str">
            <v>CP04</v>
          </cell>
          <cell r="B720">
            <v>621</v>
          </cell>
          <cell r="C720" t="str">
            <v>Minyak Solar</v>
          </cell>
          <cell r="D720" t="str">
            <v>lt</v>
          </cell>
          <cell r="E720">
            <v>600</v>
          </cell>
        </row>
        <row r="721">
          <cell r="A721" t="str">
            <v>CP05</v>
          </cell>
          <cell r="B721">
            <v>622</v>
          </cell>
          <cell r="C721" t="str">
            <v>Bensin Premium</v>
          </cell>
          <cell r="D721" t="str">
            <v>lt</v>
          </cell>
          <cell r="E721">
            <v>1150</v>
          </cell>
        </row>
        <row r="722">
          <cell r="A722" t="str">
            <v>CP06</v>
          </cell>
          <cell r="B722">
            <v>623</v>
          </cell>
          <cell r="C722" t="str">
            <v>Plus Oil</v>
          </cell>
          <cell r="D722" t="str">
            <v>lt</v>
          </cell>
          <cell r="E722">
            <v>750</v>
          </cell>
        </row>
        <row r="723">
          <cell r="A723" t="str">
            <v>CP07</v>
          </cell>
          <cell r="B723">
            <v>624</v>
          </cell>
          <cell r="C723" t="str">
            <v>Oli Mesran 40 SAE</v>
          </cell>
          <cell r="D723" t="str">
            <v>lt</v>
          </cell>
          <cell r="E723">
            <v>15000</v>
          </cell>
        </row>
        <row r="724">
          <cell r="A724" t="str">
            <v>CP08</v>
          </cell>
          <cell r="B724">
            <v>625</v>
          </cell>
          <cell r="C724" t="str">
            <v>Elpiji / botol</v>
          </cell>
          <cell r="D724" t="str">
            <v>15 kg</v>
          </cell>
          <cell r="E724">
            <v>25000</v>
          </cell>
        </row>
        <row r="725">
          <cell r="A725" t="str">
            <v>CP09</v>
          </cell>
          <cell r="B725">
            <v>626</v>
          </cell>
          <cell r="C725" t="str">
            <v>Asitilin / botol</v>
          </cell>
          <cell r="D725" t="str">
            <v>15.1 kg</v>
          </cell>
          <cell r="E725">
            <v>50000</v>
          </cell>
        </row>
        <row r="726">
          <cell r="A726" t="str">
            <v>CP10</v>
          </cell>
          <cell r="B726">
            <v>627</v>
          </cell>
          <cell r="C726" t="str">
            <v>Angin ( 02 ) / botol</v>
          </cell>
          <cell r="D726" t="str">
            <v>btl</v>
          </cell>
          <cell r="E726">
            <v>30000</v>
          </cell>
        </row>
        <row r="727">
          <cell r="A727" t="str">
            <v>CP11</v>
          </cell>
          <cell r="B727">
            <v>628</v>
          </cell>
          <cell r="C727" t="str">
            <v>Kawat Las Listrik</v>
          </cell>
          <cell r="D727" t="str">
            <v>kg</v>
          </cell>
          <cell r="E727">
            <v>6500</v>
          </cell>
        </row>
        <row r="728">
          <cell r="A728" t="str">
            <v>CP12</v>
          </cell>
          <cell r="B728">
            <v>629</v>
          </cell>
          <cell r="C728" t="str">
            <v>Karbit</v>
          </cell>
          <cell r="D728" t="str">
            <v>kg</v>
          </cell>
          <cell r="E728">
            <v>3500</v>
          </cell>
        </row>
        <row r="731">
          <cell r="A731" t="str">
            <v>ZZ99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obilisasi"/>
      <sheetName val="BOQ"/>
      <sheetName val="schedule"/>
      <sheetName val="4-Basic Price"/>
      <sheetName val="5-ALAT(1)"/>
      <sheetName val="Div3"/>
      <sheetName val="Div4"/>
      <sheetName val="Div5"/>
      <sheetName val="Div6"/>
      <sheetName val="Div7(1)"/>
      <sheetName val="Div7(2)"/>
      <sheetName val="MPU"/>
      <sheetName val="DAFTAR ALAT &amp; PERSONIL"/>
      <sheetName val="Sub 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7">
          <cell r="F57">
            <v>8911.4249999999993</v>
          </cell>
        </row>
        <row r="69">
          <cell r="F69">
            <v>640000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alis"/>
      <sheetName val="Upah"/>
      <sheetName val="Methode"/>
      <sheetName val="Struktur"/>
      <sheetName val="T Schedule"/>
      <sheetName val="Ask&amp;Answer"/>
      <sheetName val="Harga bahan"/>
      <sheetName val="Harsat Bahan"/>
      <sheetName val="Harsat Upah"/>
      <sheetName val="Bahan"/>
      <sheetName val="Upah Bahan"/>
    </sheetNames>
    <sheetDataSet>
      <sheetData sheetId="0" refreshError="1"/>
      <sheetData sheetId="1" refreshError="1"/>
      <sheetData sheetId="2" refreshError="1"/>
      <sheetData sheetId="3" refreshError="1">
        <row r="37">
          <cell r="I37">
            <v>621600</v>
          </cell>
        </row>
        <row r="56">
          <cell r="I56">
            <v>1458100</v>
          </cell>
        </row>
        <row r="82">
          <cell r="I82">
            <v>1597180</v>
          </cell>
        </row>
        <row r="108">
          <cell r="I108">
            <v>1263250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EE"/>
      <sheetName val="RAB EVA,"/>
      <sheetName val="cover"/>
      <sheetName val="Rekap"/>
      <sheetName val="Analis"/>
      <sheetName val="H.b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6">
          <cell r="E146" t="str">
            <v>Pas.Batu Kerawang Semen 1PC : 4PS</v>
          </cell>
        </row>
        <row r="475">
          <cell r="E475" t="str">
            <v>Mengecat Meni</v>
          </cell>
        </row>
        <row r="594">
          <cell r="E594" t="str">
            <v>Beton Bertulang Sloof</v>
          </cell>
        </row>
      </sheetData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NAMA"/>
      <sheetName val="COVER"/>
      <sheetName val="COV TAWAR"/>
      <sheetName val="REKAP"/>
      <sheetName val="RAB"/>
      <sheetName val="ANALISA"/>
      <sheetName val="UPAH"/>
      <sheetName val="UPAH (2)"/>
      <sheetName val="DATA"/>
      <sheetName val="Anal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2">
          <cell r="D22">
            <v>400</v>
          </cell>
        </row>
        <row r="34">
          <cell r="D34">
            <v>66100</v>
          </cell>
        </row>
        <row r="36">
          <cell r="D36">
            <v>31500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RAP"/>
      <sheetName val="Rekap"/>
      <sheetName val="Kuan&amp;Harga"/>
      <sheetName val="Ls-Mobilisasi (OK)"/>
      <sheetName val="SAT-DAS"/>
      <sheetName val="Ur-Anl (ok )"/>
      <sheetName val="Analisa (ok)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P2022 by me"/>
      <sheetName val="Bahan"/>
      <sheetName val="Upah"/>
      <sheetName val="Daftar Besi Beton Ulir"/>
      <sheetName val="Daftar Besi Beton Polos"/>
    </sheetNames>
    <sheetDataSet>
      <sheetData sheetId="0"/>
      <sheetData sheetId="1"/>
      <sheetData sheetId="2"/>
      <sheetData sheetId="3" refreshError="1"/>
      <sheetData sheetId="4">
        <row r="8">
          <cell r="C8">
            <v>5</v>
          </cell>
          <cell r="D8">
            <v>0.25</v>
          </cell>
          <cell r="E8">
            <v>25</v>
          </cell>
          <cell r="F8">
            <v>7850</v>
          </cell>
          <cell r="G8">
            <v>0.19625000000000001</v>
          </cell>
          <cell r="H8">
            <v>0.19634954084936207</v>
          </cell>
          <cell r="I8">
            <v>19.634954084936208</v>
          </cell>
          <cell r="J8">
            <v>7850</v>
          </cell>
          <cell r="K8">
            <v>0.15413438956674921</v>
          </cell>
        </row>
        <row r="9">
          <cell r="C9">
            <v>6</v>
          </cell>
          <cell r="D9">
            <v>0.36</v>
          </cell>
          <cell r="E9">
            <v>36</v>
          </cell>
          <cell r="F9">
            <v>7850</v>
          </cell>
          <cell r="G9">
            <v>0.28260000000000002</v>
          </cell>
          <cell r="H9">
            <v>0.28274333882308139</v>
          </cell>
          <cell r="I9">
            <v>28.274333882308138</v>
          </cell>
          <cell r="J9">
            <v>7850</v>
          </cell>
          <cell r="K9">
            <v>0.2219535209761189</v>
          </cell>
        </row>
        <row r="10">
          <cell r="C10">
            <v>7</v>
          </cell>
          <cell r="D10">
            <v>0.48999999999999994</v>
          </cell>
          <cell r="E10">
            <v>49</v>
          </cell>
          <cell r="F10">
            <v>7850</v>
          </cell>
          <cell r="G10">
            <v>0.38464999999999994</v>
          </cell>
          <cell r="H10">
            <v>0.38484510006474959</v>
          </cell>
          <cell r="I10">
            <v>38.484510006474963</v>
          </cell>
          <cell r="J10">
            <v>7850</v>
          </cell>
          <cell r="K10">
            <v>0.30210340355082843</v>
          </cell>
        </row>
        <row r="11">
          <cell r="C11">
            <v>8</v>
          </cell>
          <cell r="D11">
            <v>0.64000000000000012</v>
          </cell>
          <cell r="E11">
            <v>64</v>
          </cell>
          <cell r="F11">
            <v>7850</v>
          </cell>
          <cell r="G11">
            <v>0.50240000000000007</v>
          </cell>
          <cell r="H11">
            <v>0.50265482457436694</v>
          </cell>
          <cell r="I11">
            <v>50.26548245743669</v>
          </cell>
          <cell r="J11">
            <v>7850</v>
          </cell>
          <cell r="K11">
            <v>0.39458403729087804</v>
          </cell>
        </row>
        <row r="12">
          <cell r="C12">
            <v>9</v>
          </cell>
          <cell r="D12">
            <v>0.81</v>
          </cell>
          <cell r="E12">
            <v>81</v>
          </cell>
          <cell r="F12">
            <v>7850</v>
          </cell>
          <cell r="G12">
            <v>0.63585000000000003</v>
          </cell>
          <cell r="H12">
            <v>0.63617251235193317</v>
          </cell>
          <cell r="I12">
            <v>63.617251235193308</v>
          </cell>
          <cell r="J12">
            <v>7850</v>
          </cell>
          <cell r="K12">
            <v>0.49939542219626754</v>
          </cell>
        </row>
        <row r="13">
          <cell r="C13">
            <v>10</v>
          </cell>
          <cell r="D13">
            <v>1</v>
          </cell>
          <cell r="E13">
            <v>100</v>
          </cell>
          <cell r="F13">
            <v>7850</v>
          </cell>
          <cell r="G13">
            <v>0.78500000000000003</v>
          </cell>
          <cell r="H13">
            <v>0.78539816339744828</v>
          </cell>
          <cell r="I13">
            <v>78.539816339744831</v>
          </cell>
          <cell r="J13">
            <v>7850</v>
          </cell>
          <cell r="K13">
            <v>0.61653755826699685</v>
          </cell>
        </row>
        <row r="14">
          <cell r="C14">
            <v>11</v>
          </cell>
          <cell r="D14">
            <v>1.2100000000000002</v>
          </cell>
          <cell r="E14">
            <v>121</v>
          </cell>
          <cell r="F14">
            <v>7850</v>
          </cell>
          <cell r="G14">
            <v>0.94985000000000019</v>
          </cell>
          <cell r="H14">
            <v>0.9503317777109126</v>
          </cell>
          <cell r="I14">
            <v>95.033177771091246</v>
          </cell>
          <cell r="J14">
            <v>7850</v>
          </cell>
          <cell r="K14">
            <v>0.74601044550306639</v>
          </cell>
        </row>
        <row r="15">
          <cell r="C15">
            <v>12</v>
          </cell>
          <cell r="D15">
            <v>1.44</v>
          </cell>
          <cell r="E15">
            <v>144</v>
          </cell>
          <cell r="F15">
            <v>7850</v>
          </cell>
          <cell r="G15">
            <v>1.1304000000000001</v>
          </cell>
          <cell r="H15">
            <v>1.1309733552923256</v>
          </cell>
          <cell r="I15">
            <v>113.09733552923255</v>
          </cell>
          <cell r="J15">
            <v>7850</v>
          </cell>
          <cell r="K15">
            <v>0.88781408390447558</v>
          </cell>
        </row>
        <row r="16">
          <cell r="C16">
            <v>13</v>
          </cell>
          <cell r="D16">
            <v>1.6900000000000002</v>
          </cell>
          <cell r="E16">
            <v>169</v>
          </cell>
          <cell r="F16">
            <v>7850</v>
          </cell>
          <cell r="G16">
            <v>1.3266500000000001</v>
          </cell>
          <cell r="H16">
            <v>1.3273228961416876</v>
          </cell>
          <cell r="I16">
            <v>132.73228961416876</v>
          </cell>
          <cell r="J16">
            <v>7850</v>
          </cell>
          <cell r="K16">
            <v>1.0419484734712248</v>
          </cell>
        </row>
        <row r="17">
          <cell r="C17">
            <v>14</v>
          </cell>
          <cell r="D17">
            <v>1.9599999999999997</v>
          </cell>
          <cell r="E17">
            <v>196</v>
          </cell>
          <cell r="F17">
            <v>7850</v>
          </cell>
          <cell r="G17">
            <v>1.5385999999999997</v>
          </cell>
          <cell r="H17">
            <v>1.5393804002589984</v>
          </cell>
          <cell r="I17">
            <v>153.93804002589985</v>
          </cell>
          <cell r="J17">
            <v>7850</v>
          </cell>
          <cell r="K17">
            <v>1.2084136142033137</v>
          </cell>
        </row>
        <row r="18">
          <cell r="C18">
            <v>15</v>
          </cell>
          <cell r="D18">
            <v>2.25</v>
          </cell>
          <cell r="E18">
            <v>225</v>
          </cell>
          <cell r="F18">
            <v>7850</v>
          </cell>
          <cell r="G18">
            <v>1.7662500000000001</v>
          </cell>
          <cell r="H18">
            <v>1.7671458676442586</v>
          </cell>
          <cell r="I18">
            <v>176.71458676442586</v>
          </cell>
          <cell r="J18">
            <v>7850</v>
          </cell>
          <cell r="K18">
            <v>1.387209506100743</v>
          </cell>
        </row>
        <row r="19">
          <cell r="C19">
            <v>16</v>
          </cell>
          <cell r="D19">
            <v>2.5600000000000005</v>
          </cell>
          <cell r="E19">
            <v>256</v>
          </cell>
          <cell r="F19">
            <v>7850</v>
          </cell>
          <cell r="G19">
            <v>2.0096000000000003</v>
          </cell>
          <cell r="H19">
            <v>2.0106192982974678</v>
          </cell>
          <cell r="I19">
            <v>201.06192982974676</v>
          </cell>
          <cell r="J19">
            <v>7850</v>
          </cell>
          <cell r="K19">
            <v>1.5783361491635122</v>
          </cell>
        </row>
        <row r="20">
          <cell r="C20">
            <v>17</v>
          </cell>
          <cell r="D20">
            <v>2.8899999999999997</v>
          </cell>
          <cell r="E20">
            <v>289</v>
          </cell>
          <cell r="F20">
            <v>7850</v>
          </cell>
          <cell r="G20">
            <v>2.2686499999999996</v>
          </cell>
          <cell r="H20">
            <v>2.2698006922186251</v>
          </cell>
          <cell r="I20">
            <v>226.98006922186255</v>
          </cell>
          <cell r="J20">
            <v>7850</v>
          </cell>
          <cell r="K20">
            <v>1.7817935433916205</v>
          </cell>
        </row>
        <row r="21">
          <cell r="C21">
            <v>18</v>
          </cell>
          <cell r="D21">
            <v>3.24</v>
          </cell>
          <cell r="E21">
            <v>324</v>
          </cell>
          <cell r="F21">
            <v>7850</v>
          </cell>
          <cell r="G21">
            <v>2.5434000000000001</v>
          </cell>
          <cell r="H21">
            <v>2.5446900494077327</v>
          </cell>
          <cell r="I21">
            <v>254.46900494077323</v>
          </cell>
          <cell r="J21">
            <v>7850</v>
          </cell>
          <cell r="K21">
            <v>1.9975816887850701</v>
          </cell>
        </row>
        <row r="22">
          <cell r="C22">
            <v>19</v>
          </cell>
          <cell r="D22">
            <v>3.61</v>
          </cell>
          <cell r="E22">
            <v>361</v>
          </cell>
          <cell r="F22">
            <v>7850</v>
          </cell>
          <cell r="G22">
            <v>2.83385</v>
          </cell>
          <cell r="H22">
            <v>2.8352873698647882</v>
          </cell>
          <cell r="I22">
            <v>283.5287369864788</v>
          </cell>
          <cell r="J22">
            <v>7850</v>
          </cell>
          <cell r="K22">
            <v>2.2257005853438585</v>
          </cell>
        </row>
        <row r="23">
          <cell r="C23">
            <v>20</v>
          </cell>
          <cell r="D23">
            <v>4</v>
          </cell>
          <cell r="E23">
            <v>400</v>
          </cell>
          <cell r="F23">
            <v>7850</v>
          </cell>
          <cell r="G23">
            <v>3.14</v>
          </cell>
          <cell r="H23">
            <v>3.1415926535897931</v>
          </cell>
          <cell r="I23">
            <v>314.15926535897933</v>
          </cell>
          <cell r="J23">
            <v>7850</v>
          </cell>
          <cell r="K23">
            <v>2.4661502330679874</v>
          </cell>
        </row>
        <row r="24">
          <cell r="C24">
            <v>21</v>
          </cell>
          <cell r="D24">
            <v>4.41</v>
          </cell>
          <cell r="E24">
            <v>441</v>
          </cell>
          <cell r="F24">
            <v>7850</v>
          </cell>
          <cell r="G24">
            <v>3.4618500000000001</v>
          </cell>
          <cell r="H24">
            <v>3.4636059005827469</v>
          </cell>
          <cell r="I24">
            <v>346.36059005827468</v>
          </cell>
          <cell r="J24">
            <v>7850</v>
          </cell>
          <cell r="K24">
            <v>2.7189306319574564</v>
          </cell>
        </row>
        <row r="25">
          <cell r="C25">
            <v>22</v>
          </cell>
          <cell r="D25">
            <v>4.8400000000000007</v>
          </cell>
          <cell r="E25">
            <v>484</v>
          </cell>
          <cell r="F25">
            <v>7850</v>
          </cell>
          <cell r="G25">
            <v>3.7994000000000008</v>
          </cell>
          <cell r="H25">
            <v>3.8013271108436504</v>
          </cell>
          <cell r="I25">
            <v>380.13271108436498</v>
          </cell>
          <cell r="J25">
            <v>7850</v>
          </cell>
          <cell r="K25">
            <v>2.9840417820122656</v>
          </cell>
        </row>
        <row r="26">
          <cell r="C26">
            <v>23</v>
          </cell>
          <cell r="D26">
            <v>5.2899999999999991</v>
          </cell>
          <cell r="E26">
            <v>529</v>
          </cell>
          <cell r="F26">
            <v>7850</v>
          </cell>
          <cell r="G26">
            <v>4.1526499999999995</v>
          </cell>
          <cell r="H26">
            <v>4.1547562843725006</v>
          </cell>
          <cell r="I26">
            <v>415.47562843725012</v>
          </cell>
          <cell r="J26">
            <v>7850</v>
          </cell>
          <cell r="K26">
            <v>3.261483683232413</v>
          </cell>
        </row>
        <row r="27">
          <cell r="C27">
            <v>24</v>
          </cell>
          <cell r="D27">
            <v>5.76</v>
          </cell>
          <cell r="E27">
            <v>576</v>
          </cell>
          <cell r="F27">
            <v>7850</v>
          </cell>
          <cell r="G27">
            <v>4.5216000000000003</v>
          </cell>
          <cell r="H27">
            <v>4.5238934211693023</v>
          </cell>
          <cell r="I27">
            <v>452.38934211693021</v>
          </cell>
          <cell r="J27">
            <v>7850</v>
          </cell>
          <cell r="K27">
            <v>3.5512563356179023</v>
          </cell>
        </row>
        <row r="28">
          <cell r="C28">
            <v>25</v>
          </cell>
          <cell r="D28">
            <v>6.25</v>
          </cell>
          <cell r="E28">
            <v>625</v>
          </cell>
          <cell r="F28">
            <v>7850</v>
          </cell>
          <cell r="G28">
            <v>4.90625</v>
          </cell>
          <cell r="H28">
            <v>4.908738521234052</v>
          </cell>
          <cell r="I28">
            <v>490.87385212340519</v>
          </cell>
          <cell r="J28">
            <v>7850</v>
          </cell>
          <cell r="K28">
            <v>3.8533597391687304</v>
          </cell>
        </row>
        <row r="29">
          <cell r="C29">
            <v>26</v>
          </cell>
          <cell r="D29">
            <v>6.7600000000000007</v>
          </cell>
          <cell r="E29">
            <v>676</v>
          </cell>
          <cell r="F29">
            <v>7850</v>
          </cell>
          <cell r="G29">
            <v>5.3066000000000004</v>
          </cell>
          <cell r="H29">
            <v>5.3092915845667505</v>
          </cell>
          <cell r="I29">
            <v>530.92915845667505</v>
          </cell>
          <cell r="J29">
            <v>7850</v>
          </cell>
          <cell r="K29">
            <v>4.1677938938848991</v>
          </cell>
        </row>
        <row r="30">
          <cell r="C30">
            <v>27</v>
          </cell>
          <cell r="D30">
            <v>7.2900000000000009</v>
          </cell>
          <cell r="E30">
            <v>729</v>
          </cell>
          <cell r="F30">
            <v>7850</v>
          </cell>
          <cell r="G30">
            <v>5.7226500000000007</v>
          </cell>
          <cell r="H30">
            <v>5.7255526111673989</v>
          </cell>
          <cell r="I30">
            <v>572.55526111673976</v>
          </cell>
          <cell r="J30">
            <v>7850</v>
          </cell>
          <cell r="K30">
            <v>4.4945587997664083</v>
          </cell>
        </row>
        <row r="31">
          <cell r="C31">
            <v>28</v>
          </cell>
          <cell r="D31">
            <v>7.839999999999999</v>
          </cell>
          <cell r="E31">
            <v>784</v>
          </cell>
          <cell r="F31">
            <v>7850</v>
          </cell>
          <cell r="G31">
            <v>6.154399999999999</v>
          </cell>
          <cell r="H31">
            <v>6.1575216010359934</v>
          </cell>
          <cell r="I31">
            <v>615.75216010359941</v>
          </cell>
          <cell r="J31">
            <v>7850</v>
          </cell>
          <cell r="K31">
            <v>4.8336544568132549</v>
          </cell>
        </row>
        <row r="32">
          <cell r="C32">
            <v>29</v>
          </cell>
          <cell r="D32">
            <v>8.41</v>
          </cell>
          <cell r="E32">
            <v>841</v>
          </cell>
          <cell r="F32">
            <v>7850</v>
          </cell>
          <cell r="G32">
            <v>6.6018499999999998</v>
          </cell>
          <cell r="H32">
            <v>6.6051985541725404</v>
          </cell>
          <cell r="I32">
            <v>660.51985541725401</v>
          </cell>
          <cell r="J32">
            <v>7850</v>
          </cell>
          <cell r="K32">
            <v>5.1850808650254443</v>
          </cell>
        </row>
        <row r="33">
          <cell r="C33">
            <v>30</v>
          </cell>
          <cell r="D33">
            <v>9</v>
          </cell>
          <cell r="E33">
            <v>900</v>
          </cell>
          <cell r="F33">
            <v>7850</v>
          </cell>
          <cell r="G33">
            <v>7.0650000000000004</v>
          </cell>
          <cell r="H33">
            <v>7.0685834705770345</v>
          </cell>
          <cell r="I33">
            <v>706.85834705770344</v>
          </cell>
          <cell r="J33">
            <v>7850</v>
          </cell>
          <cell r="K33">
            <v>5.548838024402972</v>
          </cell>
        </row>
        <row r="34">
          <cell r="C34">
            <v>31</v>
          </cell>
          <cell r="D34">
            <v>9.6100000000000012</v>
          </cell>
          <cell r="E34">
            <v>961</v>
          </cell>
          <cell r="F34">
            <v>7850</v>
          </cell>
          <cell r="G34">
            <v>7.5438500000000017</v>
          </cell>
          <cell r="H34">
            <v>7.5476763502494792</v>
          </cell>
          <cell r="I34">
            <v>754.76763502494782</v>
          </cell>
          <cell r="J34">
            <v>7850</v>
          </cell>
          <cell r="K34">
            <v>5.9249259349458416</v>
          </cell>
        </row>
        <row r="35">
          <cell r="C35">
            <v>32</v>
          </cell>
          <cell r="D35">
            <v>10.240000000000002</v>
          </cell>
          <cell r="E35">
            <v>1024</v>
          </cell>
          <cell r="F35">
            <v>7850</v>
          </cell>
          <cell r="G35">
            <v>8.0384000000000011</v>
          </cell>
          <cell r="H35">
            <v>8.0424771931898711</v>
          </cell>
          <cell r="I35">
            <v>804.24771931898704</v>
          </cell>
          <cell r="J35">
            <v>7850</v>
          </cell>
          <cell r="K35">
            <v>6.3133445966540487</v>
          </cell>
        </row>
        <row r="36">
          <cell r="C36">
            <v>33</v>
          </cell>
          <cell r="D36">
            <v>10.889999999999999</v>
          </cell>
          <cell r="E36">
            <v>1089</v>
          </cell>
          <cell r="F36">
            <v>7850</v>
          </cell>
          <cell r="G36">
            <v>8.5486499999999985</v>
          </cell>
          <cell r="H36">
            <v>8.55298599939821</v>
          </cell>
          <cell r="I36">
            <v>855.2985999398212</v>
          </cell>
          <cell r="J36">
            <v>7850</v>
          </cell>
          <cell r="K36">
            <v>6.7140940095275949</v>
          </cell>
        </row>
        <row r="37">
          <cell r="C37">
            <v>34</v>
          </cell>
          <cell r="D37">
            <v>11.559999999999999</v>
          </cell>
          <cell r="E37">
            <v>1156</v>
          </cell>
          <cell r="F37">
            <v>7850</v>
          </cell>
          <cell r="G37">
            <v>9.0745999999999984</v>
          </cell>
          <cell r="H37">
            <v>9.0792027688745005</v>
          </cell>
          <cell r="I37">
            <v>907.9202768874502</v>
          </cell>
          <cell r="J37">
            <v>7850</v>
          </cell>
          <cell r="K37">
            <v>7.1271741735664822</v>
          </cell>
        </row>
        <row r="38">
          <cell r="C38">
            <v>35</v>
          </cell>
          <cell r="D38">
            <v>12.25</v>
          </cell>
          <cell r="E38">
            <v>1225</v>
          </cell>
          <cell r="F38">
            <v>7850</v>
          </cell>
          <cell r="G38">
            <v>9.6162500000000009</v>
          </cell>
          <cell r="H38">
            <v>9.6211275016187408</v>
          </cell>
          <cell r="I38">
            <v>962.11275016187415</v>
          </cell>
          <cell r="J38">
            <v>7850</v>
          </cell>
          <cell r="K38">
            <v>7.5525850887707113</v>
          </cell>
        </row>
        <row r="39">
          <cell r="C39">
            <v>36</v>
          </cell>
          <cell r="D39">
            <v>12.96</v>
          </cell>
          <cell r="E39">
            <v>1296</v>
          </cell>
          <cell r="F39">
            <v>7850</v>
          </cell>
          <cell r="G39">
            <v>10.1736</v>
          </cell>
          <cell r="H39">
            <v>10.178760197630931</v>
          </cell>
          <cell r="I39">
            <v>1017.8760197630929</v>
          </cell>
          <cell r="J39">
            <v>7850</v>
          </cell>
          <cell r="K39">
            <v>7.9903267551402806</v>
          </cell>
        </row>
        <row r="40">
          <cell r="C40">
            <v>37</v>
          </cell>
          <cell r="D40">
            <v>13.690000000000001</v>
          </cell>
          <cell r="E40">
            <v>1369</v>
          </cell>
          <cell r="F40">
            <v>7850</v>
          </cell>
          <cell r="G40">
            <v>10.746650000000001</v>
          </cell>
          <cell r="H40">
            <v>10.752100856911069</v>
          </cell>
          <cell r="I40">
            <v>1075.2100856911068</v>
          </cell>
          <cell r="J40">
            <v>7850</v>
          </cell>
          <cell r="K40">
            <v>8.440399172675189</v>
          </cell>
        </row>
        <row r="41">
          <cell r="C41">
            <v>38</v>
          </cell>
          <cell r="D41">
            <v>14.44</v>
          </cell>
          <cell r="E41">
            <v>1444</v>
          </cell>
          <cell r="F41">
            <v>7850</v>
          </cell>
          <cell r="G41">
            <v>11.3354</v>
          </cell>
          <cell r="H41">
            <v>11.341149479459153</v>
          </cell>
          <cell r="I41">
            <v>1134.1149479459152</v>
          </cell>
          <cell r="J41">
            <v>7850</v>
          </cell>
          <cell r="K41">
            <v>8.902802341375434</v>
          </cell>
        </row>
        <row r="42">
          <cell r="C42">
            <v>39</v>
          </cell>
          <cell r="D42">
            <v>15.209999999999999</v>
          </cell>
          <cell r="E42">
            <v>1521</v>
          </cell>
          <cell r="F42">
            <v>7850</v>
          </cell>
          <cell r="G42">
            <v>11.93985</v>
          </cell>
          <cell r="H42">
            <v>11.945906065275187</v>
          </cell>
          <cell r="I42">
            <v>1194.5906065275187</v>
          </cell>
          <cell r="J42">
            <v>7850</v>
          </cell>
          <cell r="K42">
            <v>9.3775362612410209</v>
          </cell>
        </row>
        <row r="43">
          <cell r="C43">
            <v>40</v>
          </cell>
          <cell r="D43">
            <v>16</v>
          </cell>
          <cell r="E43">
            <v>1600</v>
          </cell>
          <cell r="F43">
            <v>7850</v>
          </cell>
          <cell r="G43">
            <v>12.56</v>
          </cell>
          <cell r="H43">
            <v>12.566370614359172</v>
          </cell>
          <cell r="I43">
            <v>1256.6370614359173</v>
          </cell>
          <cell r="J43">
            <v>7850</v>
          </cell>
          <cell r="K43">
            <v>9.8646009322719497</v>
          </cell>
        </row>
        <row r="44">
          <cell r="C44">
            <v>42</v>
          </cell>
          <cell r="D44">
            <v>17.64</v>
          </cell>
          <cell r="E44">
            <v>1764</v>
          </cell>
          <cell r="F44">
            <v>7850</v>
          </cell>
          <cell r="G44">
            <v>13.8474</v>
          </cell>
          <cell r="H44">
            <v>13.854423602330987</v>
          </cell>
          <cell r="I44">
            <v>1385.4423602330987</v>
          </cell>
          <cell r="J44">
            <v>7850</v>
          </cell>
          <cell r="K44">
            <v>10.875722527829826</v>
          </cell>
        </row>
        <row r="45">
          <cell r="C45">
            <v>44</v>
          </cell>
          <cell r="D45">
            <v>19.360000000000003</v>
          </cell>
          <cell r="E45">
            <v>1936</v>
          </cell>
          <cell r="F45">
            <v>7850</v>
          </cell>
          <cell r="G45">
            <v>15.197600000000003</v>
          </cell>
          <cell r="H45">
            <v>15.205308443374602</v>
          </cell>
          <cell r="I45">
            <v>1520.5308443374599</v>
          </cell>
          <cell r="J45">
            <v>7850</v>
          </cell>
          <cell r="K45">
            <v>11.936167128049062</v>
          </cell>
        </row>
        <row r="46">
          <cell r="C46">
            <v>46</v>
          </cell>
          <cell r="D46">
            <v>21.159999999999997</v>
          </cell>
          <cell r="E46">
            <v>2116</v>
          </cell>
          <cell r="F46">
            <v>7850</v>
          </cell>
          <cell r="G46">
            <v>16.610599999999998</v>
          </cell>
          <cell r="H46">
            <v>16.619025137490002</v>
          </cell>
          <cell r="I46">
            <v>1661.9025137490005</v>
          </cell>
          <cell r="J46">
            <v>7850</v>
          </cell>
          <cell r="K46">
            <v>13.045934732929652</v>
          </cell>
        </row>
        <row r="47">
          <cell r="C47">
            <v>49</v>
          </cell>
          <cell r="D47">
            <v>24.010000000000005</v>
          </cell>
          <cell r="E47">
            <v>2401</v>
          </cell>
          <cell r="F47">
            <v>7850</v>
          </cell>
          <cell r="G47">
            <v>18.847850000000005</v>
          </cell>
          <cell r="H47">
            <v>18.857409903172737</v>
          </cell>
          <cell r="I47">
            <v>1885.7409903172734</v>
          </cell>
          <cell r="J47">
            <v>7850</v>
          </cell>
          <cell r="K47">
            <v>14.803066773990601</v>
          </cell>
        </row>
        <row r="48">
          <cell r="C48">
            <v>50</v>
          </cell>
          <cell r="D48">
            <v>25</v>
          </cell>
          <cell r="E48">
            <v>2500</v>
          </cell>
          <cell r="F48">
            <v>7850</v>
          </cell>
          <cell r="G48">
            <v>19.625</v>
          </cell>
          <cell r="H48">
            <v>19.634954084936208</v>
          </cell>
          <cell r="I48">
            <v>1963.4954084936207</v>
          </cell>
          <cell r="J48">
            <v>7850</v>
          </cell>
          <cell r="K48">
            <v>15.413438956674922</v>
          </cell>
        </row>
        <row r="49">
          <cell r="C49">
            <v>52</v>
          </cell>
          <cell r="D49">
            <v>27.040000000000003</v>
          </cell>
          <cell r="E49">
            <v>2704</v>
          </cell>
          <cell r="F49">
            <v>7850</v>
          </cell>
          <cell r="G49">
            <v>21.226400000000002</v>
          </cell>
          <cell r="H49">
            <v>21.237166338267002</v>
          </cell>
          <cell r="I49">
            <v>2123.7166338267002</v>
          </cell>
          <cell r="J49">
            <v>7850</v>
          </cell>
          <cell r="K49">
            <v>16.671175575539596</v>
          </cell>
        </row>
        <row r="50">
          <cell r="C50">
            <v>54</v>
          </cell>
          <cell r="D50">
            <v>29.160000000000004</v>
          </cell>
          <cell r="E50">
            <v>2916</v>
          </cell>
          <cell r="F50">
            <v>7850</v>
          </cell>
          <cell r="G50">
            <v>22.890600000000003</v>
          </cell>
          <cell r="H50">
            <v>22.902210444669596</v>
          </cell>
          <cell r="I50">
            <v>2290.221044466959</v>
          </cell>
          <cell r="J50">
            <v>7850</v>
          </cell>
          <cell r="K50">
            <v>17.978235199065633</v>
          </cell>
        </row>
        <row r="51">
          <cell r="C51">
            <v>56</v>
          </cell>
          <cell r="D51">
            <v>31.359999999999996</v>
          </cell>
          <cell r="E51">
            <v>3136</v>
          </cell>
          <cell r="F51">
            <v>7850</v>
          </cell>
          <cell r="G51">
            <v>24.617599999999996</v>
          </cell>
          <cell r="H51">
            <v>24.630086404143974</v>
          </cell>
          <cell r="I51">
            <v>2463.0086404143976</v>
          </cell>
          <cell r="J51">
            <v>7850</v>
          </cell>
          <cell r="K51">
            <v>19.33461782725302</v>
          </cell>
        </row>
        <row r="52">
          <cell r="C52">
            <v>58</v>
          </cell>
          <cell r="D52">
            <v>33.64</v>
          </cell>
          <cell r="E52">
            <v>3364</v>
          </cell>
          <cell r="F52">
            <v>7850</v>
          </cell>
          <cell r="G52">
            <v>26.407399999999999</v>
          </cell>
          <cell r="H52">
            <v>26.420794216690162</v>
          </cell>
          <cell r="I52">
            <v>2642.079421669016</v>
          </cell>
          <cell r="J52">
            <v>7850</v>
          </cell>
          <cell r="K52">
            <v>20.740323460101777</v>
          </cell>
        </row>
        <row r="53">
          <cell r="C53">
            <v>60</v>
          </cell>
          <cell r="D53">
            <v>36</v>
          </cell>
          <cell r="E53">
            <v>3600</v>
          </cell>
          <cell r="F53">
            <v>7850</v>
          </cell>
          <cell r="G53">
            <v>28.26</v>
          </cell>
          <cell r="H53">
            <v>28.274333882308138</v>
          </cell>
          <cell r="I53">
            <v>2827.4333882308138</v>
          </cell>
          <cell r="J53">
            <v>7850</v>
          </cell>
          <cell r="K53">
            <v>22.195352097611888</v>
          </cell>
        </row>
        <row r="54">
          <cell r="C54">
            <v>62</v>
          </cell>
          <cell r="D54">
            <v>38.440000000000005</v>
          </cell>
          <cell r="E54">
            <v>3844</v>
          </cell>
          <cell r="F54">
            <v>7850</v>
          </cell>
          <cell r="G54">
            <v>30.175400000000007</v>
          </cell>
          <cell r="H54">
            <v>30.190705400997917</v>
          </cell>
          <cell r="I54">
            <v>3019.0705400997913</v>
          </cell>
          <cell r="J54">
            <v>7850</v>
          </cell>
          <cell r="K54">
            <v>23.699703739783367</v>
          </cell>
        </row>
        <row r="55">
          <cell r="C55">
            <v>64</v>
          </cell>
          <cell r="D55">
            <v>40.960000000000008</v>
          </cell>
          <cell r="E55">
            <v>4096</v>
          </cell>
          <cell r="F55">
            <v>7850</v>
          </cell>
          <cell r="G55">
            <v>32.153600000000004</v>
          </cell>
          <cell r="H55">
            <v>32.169908772759484</v>
          </cell>
          <cell r="I55">
            <v>3216.9908772759482</v>
          </cell>
          <cell r="J55">
            <v>7850</v>
          </cell>
          <cell r="K55">
            <v>25.253378386616195</v>
          </cell>
        </row>
        <row r="56">
          <cell r="C56">
            <v>66</v>
          </cell>
          <cell r="D56">
            <v>43.559999999999995</v>
          </cell>
          <cell r="E56">
            <v>4356</v>
          </cell>
          <cell r="F56">
            <v>7850</v>
          </cell>
          <cell r="G56">
            <v>34.194599999999994</v>
          </cell>
          <cell r="H56">
            <v>34.21194399759284</v>
          </cell>
          <cell r="I56">
            <v>3421.1943997592848</v>
          </cell>
          <cell r="J56">
            <v>7850</v>
          </cell>
          <cell r="K56">
            <v>26.85637603811038</v>
          </cell>
        </row>
        <row r="57">
          <cell r="C57">
            <v>68</v>
          </cell>
          <cell r="D57">
            <v>46.239999999999995</v>
          </cell>
          <cell r="E57">
            <v>4624</v>
          </cell>
          <cell r="F57">
            <v>7850</v>
          </cell>
          <cell r="G57">
            <v>36.298399999999994</v>
          </cell>
          <cell r="H57">
            <v>36.316811075498002</v>
          </cell>
          <cell r="I57">
            <v>3631.6811075498008</v>
          </cell>
          <cell r="J57">
            <v>7850</v>
          </cell>
          <cell r="K57">
            <v>28.508696694265929</v>
          </cell>
        </row>
        <row r="58">
          <cell r="C58">
            <v>70</v>
          </cell>
          <cell r="D58">
            <v>49</v>
          </cell>
          <cell r="E58">
            <v>4900</v>
          </cell>
          <cell r="F58">
            <v>7850</v>
          </cell>
          <cell r="G58">
            <v>38.465000000000003</v>
          </cell>
          <cell r="H58">
            <v>38.484510006474963</v>
          </cell>
          <cell r="I58">
            <v>3848.4510006474966</v>
          </cell>
          <cell r="J58">
            <v>7850</v>
          </cell>
          <cell r="K58">
            <v>30.210340355082845</v>
          </cell>
        </row>
        <row r="59">
          <cell r="C59">
            <v>72</v>
          </cell>
          <cell r="D59">
            <v>51.84</v>
          </cell>
          <cell r="E59">
            <v>5184</v>
          </cell>
          <cell r="F59">
            <v>7850</v>
          </cell>
          <cell r="G59">
            <v>40.694400000000002</v>
          </cell>
          <cell r="H59">
            <v>40.715040790523723</v>
          </cell>
          <cell r="I59">
            <v>4071.5040790523717</v>
          </cell>
          <cell r="J59">
            <v>7850</v>
          </cell>
          <cell r="K59">
            <v>31.961307020561122</v>
          </cell>
        </row>
        <row r="60">
          <cell r="C60">
            <v>74</v>
          </cell>
          <cell r="D60">
            <v>54.760000000000005</v>
          </cell>
          <cell r="E60">
            <v>5476</v>
          </cell>
          <cell r="F60">
            <v>7850</v>
          </cell>
          <cell r="G60">
            <v>42.986600000000003</v>
          </cell>
          <cell r="H60">
            <v>43.008403427644275</v>
          </cell>
          <cell r="I60">
            <v>4300.8403427644271</v>
          </cell>
          <cell r="J60">
            <v>7850</v>
          </cell>
          <cell r="K60">
            <v>33.761596690700756</v>
          </cell>
        </row>
        <row r="61">
          <cell r="C61">
            <v>76</v>
          </cell>
          <cell r="D61">
            <v>57.76</v>
          </cell>
          <cell r="E61">
            <v>5776</v>
          </cell>
          <cell r="F61">
            <v>7850</v>
          </cell>
          <cell r="G61">
            <v>45.3416</v>
          </cell>
          <cell r="H61">
            <v>45.364597917836612</v>
          </cell>
          <cell r="I61">
            <v>4536.4597917836609</v>
          </cell>
          <cell r="J61">
            <v>7850</v>
          </cell>
          <cell r="K61">
            <v>35.611209365501736</v>
          </cell>
        </row>
        <row r="62">
          <cell r="C62">
            <v>78</v>
          </cell>
          <cell r="D62">
            <v>60.839999999999996</v>
          </cell>
          <cell r="E62">
            <v>6084</v>
          </cell>
          <cell r="F62">
            <v>7850</v>
          </cell>
          <cell r="G62">
            <v>47.759399999999999</v>
          </cell>
          <cell r="H62">
            <v>47.783624261100748</v>
          </cell>
          <cell r="I62">
            <v>4778.3624261100749</v>
          </cell>
          <cell r="J62">
            <v>7850</v>
          </cell>
          <cell r="K62">
            <v>37.510145044964084</v>
          </cell>
        </row>
        <row r="63">
          <cell r="C63">
            <v>80</v>
          </cell>
          <cell r="D63">
            <v>64</v>
          </cell>
          <cell r="E63">
            <v>6400</v>
          </cell>
          <cell r="F63">
            <v>7850</v>
          </cell>
          <cell r="G63">
            <v>50.24</v>
          </cell>
          <cell r="H63">
            <v>50.26548245743669</v>
          </cell>
          <cell r="I63">
            <v>5026.5482457436692</v>
          </cell>
          <cell r="J63">
            <v>7850</v>
          </cell>
          <cell r="K63">
            <v>39.458403729087799</v>
          </cell>
        </row>
        <row r="64">
          <cell r="C64">
            <v>82</v>
          </cell>
          <cell r="D64">
            <v>67.239999999999995</v>
          </cell>
          <cell r="E64">
            <v>6724</v>
          </cell>
          <cell r="F64">
            <v>7850</v>
          </cell>
          <cell r="G64">
            <v>52.7834</v>
          </cell>
          <cell r="H64">
            <v>52.810172506844417</v>
          </cell>
          <cell r="I64">
            <v>5281.0172506844419</v>
          </cell>
          <cell r="J64">
            <v>7850</v>
          </cell>
          <cell r="K64">
            <v>41.455985417872867</v>
          </cell>
        </row>
        <row r="65">
          <cell r="C65">
            <v>84</v>
          </cell>
          <cell r="D65">
            <v>70.56</v>
          </cell>
          <cell r="E65">
            <v>7056</v>
          </cell>
          <cell r="F65">
            <v>7850</v>
          </cell>
          <cell r="G65">
            <v>55.389600000000002</v>
          </cell>
          <cell r="H65">
            <v>55.41769440932395</v>
          </cell>
          <cell r="I65">
            <v>5541.7694409323949</v>
          </cell>
          <cell r="J65">
            <v>7850</v>
          </cell>
          <cell r="K65">
            <v>43.502890111319303</v>
          </cell>
        </row>
        <row r="66">
          <cell r="C66">
            <v>86</v>
          </cell>
          <cell r="D66">
            <v>73.959999999999994</v>
          </cell>
          <cell r="E66">
            <v>7396</v>
          </cell>
          <cell r="F66">
            <v>7850</v>
          </cell>
          <cell r="G66">
            <v>58.058599999999998</v>
          </cell>
          <cell r="H66">
            <v>58.088048164875268</v>
          </cell>
          <cell r="I66">
            <v>5808.8048164875272</v>
          </cell>
          <cell r="J66">
            <v>7850</v>
          </cell>
          <cell r="K66">
            <v>45.599117809427085</v>
          </cell>
        </row>
        <row r="67">
          <cell r="C67">
            <v>88</v>
          </cell>
          <cell r="D67">
            <v>77.440000000000012</v>
          </cell>
          <cell r="E67">
            <v>7744</v>
          </cell>
          <cell r="F67">
            <v>7850</v>
          </cell>
          <cell r="G67">
            <v>60.790400000000012</v>
          </cell>
          <cell r="H67">
            <v>60.821233773498406</v>
          </cell>
          <cell r="I67">
            <v>6082.1233773498398</v>
          </cell>
          <cell r="J67">
            <v>7850</v>
          </cell>
          <cell r="K67">
            <v>47.744668512196249</v>
          </cell>
        </row>
        <row r="68">
          <cell r="C68">
            <v>90</v>
          </cell>
          <cell r="D68">
            <v>81</v>
          </cell>
          <cell r="E68">
            <v>8100</v>
          </cell>
          <cell r="F68">
            <v>7850</v>
          </cell>
          <cell r="G68">
            <v>63.585000000000001</v>
          </cell>
          <cell r="H68">
            <v>63.617251235193308</v>
          </cell>
          <cell r="I68">
            <v>6361.7251235193307</v>
          </cell>
          <cell r="J68">
            <v>7850</v>
          </cell>
          <cell r="K68">
            <v>49.939542219626745</v>
          </cell>
        </row>
        <row r="69">
          <cell r="C69">
            <v>92</v>
          </cell>
          <cell r="D69">
            <v>84.639999999999986</v>
          </cell>
          <cell r="E69">
            <v>8464</v>
          </cell>
          <cell r="F69">
            <v>7850</v>
          </cell>
          <cell r="G69">
            <v>66.442399999999992</v>
          </cell>
          <cell r="H69">
            <v>66.476100549960009</v>
          </cell>
          <cell r="I69">
            <v>6647.610054996002</v>
          </cell>
          <cell r="J69">
            <v>7850</v>
          </cell>
          <cell r="K69">
            <v>52.183738931718608</v>
          </cell>
        </row>
        <row r="70">
          <cell r="C70">
            <v>94</v>
          </cell>
          <cell r="D70">
            <v>88.360000000000014</v>
          </cell>
          <cell r="E70">
            <v>8836</v>
          </cell>
          <cell r="F70">
            <v>7850</v>
          </cell>
          <cell r="G70">
            <v>69.362600000000015</v>
          </cell>
          <cell r="H70">
            <v>69.397781717798537</v>
          </cell>
          <cell r="I70">
            <v>6939.7781717798534</v>
          </cell>
          <cell r="J70">
            <v>7850</v>
          </cell>
          <cell r="K70">
            <v>54.477258648471846</v>
          </cell>
        </row>
        <row r="71">
          <cell r="C71">
            <v>96</v>
          </cell>
          <cell r="D71">
            <v>92.16</v>
          </cell>
          <cell r="E71">
            <v>9216</v>
          </cell>
          <cell r="F71">
            <v>7850</v>
          </cell>
          <cell r="G71">
            <v>72.345600000000005</v>
          </cell>
          <cell r="H71">
            <v>72.382294738708836</v>
          </cell>
          <cell r="I71">
            <v>7238.2294738708833</v>
          </cell>
          <cell r="J71">
            <v>7850</v>
          </cell>
          <cell r="K71">
            <v>56.820101369886437</v>
          </cell>
        </row>
        <row r="72">
          <cell r="C72">
            <v>98</v>
          </cell>
          <cell r="D72">
            <v>96.04000000000002</v>
          </cell>
          <cell r="E72">
            <v>9604</v>
          </cell>
          <cell r="F72">
            <v>7850</v>
          </cell>
          <cell r="G72">
            <v>75.391400000000019</v>
          </cell>
          <cell r="H72">
            <v>75.429639612690949</v>
          </cell>
          <cell r="I72">
            <v>7542.9639612690935</v>
          </cell>
          <cell r="J72">
            <v>7850</v>
          </cell>
          <cell r="K72">
            <v>59.212267095962403</v>
          </cell>
        </row>
        <row r="73">
          <cell r="C73">
            <v>100</v>
          </cell>
          <cell r="D73">
            <v>100</v>
          </cell>
          <cell r="E73">
            <v>10000</v>
          </cell>
          <cell r="F73">
            <v>7850</v>
          </cell>
          <cell r="G73">
            <v>78.5</v>
          </cell>
          <cell r="H73">
            <v>78.539816339744831</v>
          </cell>
          <cell r="I73">
            <v>7853.981633974483</v>
          </cell>
          <cell r="J73">
            <v>7850</v>
          </cell>
          <cell r="K73">
            <v>61.653755826699687</v>
          </cell>
        </row>
        <row r="74">
          <cell r="C74">
            <v>105</v>
          </cell>
          <cell r="D74">
            <v>110.25</v>
          </cell>
          <cell r="E74">
            <v>11025</v>
          </cell>
          <cell r="F74">
            <v>7850</v>
          </cell>
          <cell r="G74">
            <v>86.546250000000001</v>
          </cell>
          <cell r="H74">
            <v>86.59014751456867</v>
          </cell>
          <cell r="I74">
            <v>8659.0147514568671</v>
          </cell>
          <cell r="J74">
            <v>7850</v>
          </cell>
          <cell r="K74">
            <v>67.97326579893641</v>
          </cell>
        </row>
        <row r="75">
          <cell r="C75">
            <v>110</v>
          </cell>
          <cell r="D75">
            <v>121</v>
          </cell>
          <cell r="E75">
            <v>12100</v>
          </cell>
          <cell r="F75">
            <v>7850</v>
          </cell>
          <cell r="G75">
            <v>94.984999999999999</v>
          </cell>
          <cell r="H75">
            <v>95.033177771091246</v>
          </cell>
          <cell r="I75">
            <v>9503.317777109125</v>
          </cell>
          <cell r="J75">
            <v>7850</v>
          </cell>
          <cell r="K75">
            <v>74.601044550306625</v>
          </cell>
        </row>
        <row r="76">
          <cell r="C76">
            <v>115</v>
          </cell>
          <cell r="D76">
            <v>132.25</v>
          </cell>
          <cell r="E76">
            <v>13225</v>
          </cell>
          <cell r="F76">
            <v>7850</v>
          </cell>
          <cell r="G76">
            <v>103.81625</v>
          </cell>
          <cell r="H76">
            <v>103.86890710931253</v>
          </cell>
          <cell r="I76">
            <v>10386.890710931253</v>
          </cell>
          <cell r="J76">
            <v>7850</v>
          </cell>
          <cell r="K76">
            <v>81.537092080810339</v>
          </cell>
        </row>
        <row r="77">
          <cell r="C77">
            <v>120</v>
          </cell>
          <cell r="D77">
            <v>144</v>
          </cell>
          <cell r="E77">
            <v>14400</v>
          </cell>
          <cell r="F77">
            <v>7850</v>
          </cell>
          <cell r="G77">
            <v>113.04</v>
          </cell>
          <cell r="H77">
            <v>113.09733552923255</v>
          </cell>
          <cell r="I77">
            <v>11309.733552923255</v>
          </cell>
          <cell r="J77">
            <v>7850</v>
          </cell>
          <cell r="K77">
            <v>88.781408390447552</v>
          </cell>
        </row>
        <row r="78">
          <cell r="C78">
            <v>125</v>
          </cell>
          <cell r="D78">
            <v>156.25</v>
          </cell>
          <cell r="E78">
            <v>15625</v>
          </cell>
          <cell r="F78">
            <v>7850</v>
          </cell>
          <cell r="G78">
            <v>122.65625</v>
          </cell>
          <cell r="H78">
            <v>122.7184630308513</v>
          </cell>
          <cell r="I78">
            <v>12271.846303085129</v>
          </cell>
          <cell r="J78">
            <v>7850</v>
          </cell>
          <cell r="K78">
            <v>96.333993479218265</v>
          </cell>
        </row>
        <row r="79">
          <cell r="C79">
            <v>130</v>
          </cell>
          <cell r="D79">
            <v>169</v>
          </cell>
          <cell r="E79">
            <v>16900</v>
          </cell>
          <cell r="F79">
            <v>7850</v>
          </cell>
          <cell r="G79">
            <v>132.66499999999999</v>
          </cell>
          <cell r="H79">
            <v>132.73228961416876</v>
          </cell>
          <cell r="I79">
            <v>13273.228961416877</v>
          </cell>
          <cell r="J79">
            <v>7850</v>
          </cell>
          <cell r="K79">
            <v>104.19484734712248</v>
          </cell>
        </row>
        <row r="80">
          <cell r="C80">
            <v>135</v>
          </cell>
          <cell r="D80">
            <v>182.25</v>
          </cell>
          <cell r="E80">
            <v>18225</v>
          </cell>
          <cell r="F80">
            <v>7850</v>
          </cell>
          <cell r="G80">
            <v>143.06625</v>
          </cell>
          <cell r="H80">
            <v>143.13881527918494</v>
          </cell>
          <cell r="I80">
            <v>14313.881527918495</v>
          </cell>
          <cell r="J80">
            <v>7850</v>
          </cell>
          <cell r="K80">
            <v>112.36396999416019</v>
          </cell>
        </row>
        <row r="81">
          <cell r="C81">
            <v>140</v>
          </cell>
          <cell r="D81">
            <v>196</v>
          </cell>
          <cell r="E81">
            <v>19600</v>
          </cell>
          <cell r="F81">
            <v>7850</v>
          </cell>
          <cell r="G81">
            <v>153.86000000000001</v>
          </cell>
          <cell r="H81">
            <v>153.93804002589985</v>
          </cell>
          <cell r="I81">
            <v>15393.804002589986</v>
          </cell>
          <cell r="J81">
            <v>7850</v>
          </cell>
          <cell r="K81">
            <v>120.84136142033138</v>
          </cell>
        </row>
        <row r="82">
          <cell r="C82">
            <v>145</v>
          </cell>
          <cell r="D82">
            <v>210.25</v>
          </cell>
          <cell r="E82">
            <v>21025</v>
          </cell>
          <cell r="F82">
            <v>7850</v>
          </cell>
          <cell r="G82">
            <v>165.04624999999999</v>
          </cell>
          <cell r="H82">
            <v>165.1299638543135</v>
          </cell>
          <cell r="I82">
            <v>16512.99638543135</v>
          </cell>
          <cell r="J82">
            <v>7850</v>
          </cell>
          <cell r="K82">
            <v>129.6270216256361</v>
          </cell>
        </row>
        <row r="83">
          <cell r="C83">
            <v>150</v>
          </cell>
          <cell r="D83">
            <v>225</v>
          </cell>
          <cell r="E83">
            <v>22500</v>
          </cell>
          <cell r="F83">
            <v>7850</v>
          </cell>
          <cell r="G83">
            <v>176.625</v>
          </cell>
          <cell r="H83">
            <v>176.71458676442586</v>
          </cell>
          <cell r="I83">
            <v>17671.458676442588</v>
          </cell>
          <cell r="J83">
            <v>7850</v>
          </cell>
          <cell r="K83">
            <v>138.72095061007431</v>
          </cell>
        </row>
        <row r="84">
          <cell r="C84">
            <v>155</v>
          </cell>
          <cell r="D84">
            <v>240.25</v>
          </cell>
          <cell r="E84">
            <v>24025</v>
          </cell>
          <cell r="F84">
            <v>7850</v>
          </cell>
          <cell r="G84">
            <v>188.59625</v>
          </cell>
          <cell r="H84">
            <v>188.69190875623696</v>
          </cell>
          <cell r="I84">
            <v>18869.190875623695</v>
          </cell>
          <cell r="J84">
            <v>7850</v>
          </cell>
          <cell r="K84">
            <v>148.12314837364602</v>
          </cell>
        </row>
        <row r="85">
          <cell r="C85">
            <v>160</v>
          </cell>
          <cell r="D85">
            <v>256</v>
          </cell>
          <cell r="E85">
            <v>25600</v>
          </cell>
          <cell r="F85">
            <v>7850</v>
          </cell>
          <cell r="G85">
            <v>200.96</v>
          </cell>
          <cell r="H85">
            <v>201.06192982974676</v>
          </cell>
          <cell r="I85">
            <v>20106.192982974677</v>
          </cell>
          <cell r="J85">
            <v>7850</v>
          </cell>
          <cell r="K85">
            <v>157.83361491635119</v>
          </cell>
        </row>
        <row r="86">
          <cell r="C86">
            <v>165</v>
          </cell>
          <cell r="D86">
            <v>272.25</v>
          </cell>
          <cell r="E86">
            <v>27225</v>
          </cell>
          <cell r="F86">
            <v>7850</v>
          </cell>
          <cell r="G86">
            <v>213.71625</v>
          </cell>
          <cell r="H86">
            <v>213.8246499849553</v>
          </cell>
          <cell r="I86">
            <v>21382.464998495529</v>
          </cell>
          <cell r="J86">
            <v>7850</v>
          </cell>
          <cell r="K86">
            <v>167.85235023818993</v>
          </cell>
        </row>
        <row r="87">
          <cell r="C87">
            <v>170</v>
          </cell>
          <cell r="D87">
            <v>289</v>
          </cell>
          <cell r="E87">
            <v>28900</v>
          </cell>
          <cell r="F87">
            <v>7850</v>
          </cell>
          <cell r="G87">
            <v>226.86500000000001</v>
          </cell>
          <cell r="H87">
            <v>226.98006922186255</v>
          </cell>
          <cell r="I87">
            <v>22698.006922186254</v>
          </cell>
          <cell r="J87">
            <v>7850</v>
          </cell>
          <cell r="K87">
            <v>178.1793543391621</v>
          </cell>
        </row>
        <row r="88">
          <cell r="C88">
            <v>175</v>
          </cell>
          <cell r="D88">
            <v>306.25</v>
          </cell>
          <cell r="E88">
            <v>30625</v>
          </cell>
          <cell r="F88">
            <v>7850</v>
          </cell>
          <cell r="G88">
            <v>240.40625</v>
          </cell>
          <cell r="H88">
            <v>240.52818754046854</v>
          </cell>
          <cell r="I88">
            <v>24052.818754046853</v>
          </cell>
          <cell r="J88">
            <v>7850</v>
          </cell>
          <cell r="K88">
            <v>188.81462721926781</v>
          </cell>
        </row>
        <row r="89">
          <cell r="C89">
            <v>180</v>
          </cell>
          <cell r="D89">
            <v>324</v>
          </cell>
          <cell r="E89">
            <v>32400</v>
          </cell>
          <cell r="F89">
            <v>7850</v>
          </cell>
          <cell r="G89">
            <v>254.34</v>
          </cell>
          <cell r="H89">
            <v>254.46900494077323</v>
          </cell>
          <cell r="I89">
            <v>25446.900494077323</v>
          </cell>
          <cell r="J89">
            <v>7850</v>
          </cell>
          <cell r="K89">
            <v>199.75816887850698</v>
          </cell>
        </row>
        <row r="90">
          <cell r="C90">
            <v>185</v>
          </cell>
          <cell r="D90">
            <v>342.25</v>
          </cell>
          <cell r="E90">
            <v>34225</v>
          </cell>
          <cell r="F90">
            <v>7850</v>
          </cell>
          <cell r="G90">
            <v>268.66624999999999</v>
          </cell>
          <cell r="H90">
            <v>268.80252142277669</v>
          </cell>
          <cell r="I90">
            <v>26880.252142277666</v>
          </cell>
          <cell r="J90">
            <v>7850</v>
          </cell>
          <cell r="K90">
            <v>211.00997931687971</v>
          </cell>
        </row>
        <row r="91">
          <cell r="C91">
            <v>190</v>
          </cell>
          <cell r="D91">
            <v>361</v>
          </cell>
          <cell r="E91">
            <v>36100</v>
          </cell>
          <cell r="F91">
            <v>7850</v>
          </cell>
          <cell r="G91">
            <v>283.38499999999999</v>
          </cell>
          <cell r="H91">
            <v>283.5287369864788</v>
          </cell>
          <cell r="I91">
            <v>28352.873698647883</v>
          </cell>
          <cell r="J91">
            <v>7850</v>
          </cell>
          <cell r="K91">
            <v>222.57005853438588</v>
          </cell>
        </row>
        <row r="92">
          <cell r="C92">
            <v>195</v>
          </cell>
          <cell r="D92">
            <v>380.25</v>
          </cell>
          <cell r="E92">
            <v>38025</v>
          </cell>
          <cell r="F92">
            <v>7850</v>
          </cell>
          <cell r="G92">
            <v>298.49624999999997</v>
          </cell>
          <cell r="H92">
            <v>298.64765163187968</v>
          </cell>
          <cell r="I92">
            <v>29864.765163187971</v>
          </cell>
          <cell r="J92">
            <v>7850</v>
          </cell>
          <cell r="K92">
            <v>234.43840653102555</v>
          </cell>
        </row>
        <row r="93">
          <cell r="C93">
            <v>200</v>
          </cell>
          <cell r="D93">
            <v>400</v>
          </cell>
          <cell r="E93">
            <v>40000</v>
          </cell>
          <cell r="F93">
            <v>7850</v>
          </cell>
          <cell r="G93">
            <v>314</v>
          </cell>
          <cell r="H93">
            <v>314.15926535897933</v>
          </cell>
          <cell r="I93">
            <v>31415.926535897932</v>
          </cell>
          <cell r="J93">
            <v>7850</v>
          </cell>
          <cell r="K93">
            <v>246.61502330679875</v>
          </cell>
        </row>
        <row r="94">
          <cell r="C94">
            <v>205</v>
          </cell>
          <cell r="D94">
            <v>420.25</v>
          </cell>
          <cell r="E94">
            <v>42025</v>
          </cell>
          <cell r="F94">
            <v>7850</v>
          </cell>
          <cell r="G94">
            <v>329.89625000000001</v>
          </cell>
          <cell r="H94">
            <v>330.06357816777762</v>
          </cell>
          <cell r="I94">
            <v>33006.357816777767</v>
          </cell>
          <cell r="J94">
            <v>7850</v>
          </cell>
          <cell r="K94">
            <v>259.09990886170544</v>
          </cell>
        </row>
        <row r="95">
          <cell r="C95">
            <v>210</v>
          </cell>
          <cell r="D95">
            <v>441</v>
          </cell>
          <cell r="E95">
            <v>44100</v>
          </cell>
          <cell r="F95">
            <v>7850</v>
          </cell>
          <cell r="G95">
            <v>346.185</v>
          </cell>
          <cell r="H95">
            <v>346.36059005827468</v>
          </cell>
          <cell r="I95">
            <v>34636.059005827468</v>
          </cell>
          <cell r="J95">
            <v>7850</v>
          </cell>
          <cell r="K95">
            <v>271.89306319574564</v>
          </cell>
        </row>
        <row r="96">
          <cell r="C96">
            <v>215</v>
          </cell>
          <cell r="D96">
            <v>462.25</v>
          </cell>
          <cell r="E96">
            <v>46225</v>
          </cell>
          <cell r="F96">
            <v>7850</v>
          </cell>
          <cell r="G96">
            <v>362.86624999999998</v>
          </cell>
          <cell r="H96">
            <v>363.05030103047045</v>
          </cell>
          <cell r="I96">
            <v>36305.030103047044</v>
          </cell>
          <cell r="J96">
            <v>7850</v>
          </cell>
          <cell r="K96">
            <v>284.99448630891931</v>
          </cell>
        </row>
        <row r="97">
          <cell r="C97">
            <v>220</v>
          </cell>
          <cell r="D97">
            <v>484</v>
          </cell>
          <cell r="E97">
            <v>48400</v>
          </cell>
          <cell r="F97">
            <v>7850</v>
          </cell>
          <cell r="G97">
            <v>379.94</v>
          </cell>
          <cell r="H97">
            <v>380.13271108436498</v>
          </cell>
          <cell r="I97">
            <v>38013.2711084365</v>
          </cell>
          <cell r="J97">
            <v>7850</v>
          </cell>
          <cell r="K97">
            <v>298.4041782012265</v>
          </cell>
        </row>
        <row r="98">
          <cell r="C98">
            <v>225</v>
          </cell>
          <cell r="D98">
            <v>506.25</v>
          </cell>
          <cell r="E98">
            <v>50625</v>
          </cell>
          <cell r="F98">
            <v>7850</v>
          </cell>
          <cell r="G98">
            <v>397.40625</v>
          </cell>
          <cell r="H98">
            <v>397.60782021995817</v>
          </cell>
          <cell r="I98">
            <v>39760.782021995816</v>
          </cell>
          <cell r="J98">
            <v>7850</v>
          </cell>
          <cell r="K98">
            <v>312.12213887266716</v>
          </cell>
        </row>
        <row r="99">
          <cell r="C99">
            <v>230</v>
          </cell>
          <cell r="D99">
            <v>529</v>
          </cell>
          <cell r="E99">
            <v>52900</v>
          </cell>
          <cell r="F99">
            <v>7850</v>
          </cell>
          <cell r="G99">
            <v>415.26499999999999</v>
          </cell>
          <cell r="H99">
            <v>415.47562843725012</v>
          </cell>
          <cell r="I99">
            <v>41547.562843725012</v>
          </cell>
          <cell r="J99">
            <v>7850</v>
          </cell>
          <cell r="K99">
            <v>326.14836832324136</v>
          </cell>
        </row>
        <row r="100">
          <cell r="C100">
            <v>235</v>
          </cell>
          <cell r="D100">
            <v>552.25</v>
          </cell>
          <cell r="E100">
            <v>55225</v>
          </cell>
          <cell r="F100">
            <v>7850</v>
          </cell>
          <cell r="G100">
            <v>433.51625000000001</v>
          </cell>
          <cell r="H100">
            <v>433.73613573624084</v>
          </cell>
          <cell r="I100">
            <v>43373.613573624083</v>
          </cell>
          <cell r="J100">
            <v>7850</v>
          </cell>
          <cell r="K100">
            <v>340.48286655294902</v>
          </cell>
        </row>
        <row r="101">
          <cell r="C101">
            <v>240</v>
          </cell>
          <cell r="D101">
            <v>576</v>
          </cell>
          <cell r="E101">
            <v>57600</v>
          </cell>
          <cell r="F101">
            <v>7850</v>
          </cell>
          <cell r="G101">
            <v>452.16</v>
          </cell>
          <cell r="H101">
            <v>452.38934211693021</v>
          </cell>
          <cell r="I101">
            <v>45238.93421169302</v>
          </cell>
          <cell r="J101">
            <v>7850</v>
          </cell>
          <cell r="K101">
            <v>355.12563356179021</v>
          </cell>
        </row>
        <row r="102">
          <cell r="C102">
            <v>245</v>
          </cell>
          <cell r="D102">
            <v>600.25</v>
          </cell>
          <cell r="E102">
            <v>60025</v>
          </cell>
          <cell r="F102">
            <v>7850</v>
          </cell>
          <cell r="G102">
            <v>471.19625000000002</v>
          </cell>
          <cell r="H102">
            <v>471.43524757931834</v>
          </cell>
          <cell r="I102">
            <v>47143.524757931831</v>
          </cell>
          <cell r="J102">
            <v>7850</v>
          </cell>
          <cell r="K102">
            <v>370.07666934976487</v>
          </cell>
        </row>
        <row r="103">
          <cell r="C103">
            <v>250</v>
          </cell>
          <cell r="D103">
            <v>625</v>
          </cell>
          <cell r="E103">
            <v>62500</v>
          </cell>
          <cell r="F103">
            <v>7850</v>
          </cell>
          <cell r="G103">
            <v>490.625</v>
          </cell>
          <cell r="H103">
            <v>490.87385212340519</v>
          </cell>
          <cell r="I103">
            <v>49087.385212340516</v>
          </cell>
          <cell r="J103">
            <v>7850</v>
          </cell>
          <cell r="K103">
            <v>385.33597391687306</v>
          </cell>
        </row>
        <row r="104">
          <cell r="C104">
            <v>260</v>
          </cell>
          <cell r="D104">
            <v>676</v>
          </cell>
          <cell r="E104">
            <v>67600</v>
          </cell>
          <cell r="F104">
            <v>7850</v>
          </cell>
          <cell r="G104">
            <v>530.66</v>
          </cell>
          <cell r="H104">
            <v>530.92915845667505</v>
          </cell>
          <cell r="I104">
            <v>53092.915845667507</v>
          </cell>
          <cell r="J104">
            <v>7850</v>
          </cell>
          <cell r="K104">
            <v>416.7793893884899</v>
          </cell>
        </row>
        <row r="105">
          <cell r="C105">
            <v>270</v>
          </cell>
          <cell r="D105">
            <v>729</v>
          </cell>
          <cell r="E105">
            <v>72900</v>
          </cell>
          <cell r="F105">
            <v>7850</v>
          </cell>
          <cell r="G105">
            <v>572.26499999999999</v>
          </cell>
          <cell r="H105">
            <v>572.55526111673976</v>
          </cell>
          <cell r="I105">
            <v>57255.526111673978</v>
          </cell>
          <cell r="J105">
            <v>7850</v>
          </cell>
          <cell r="K105">
            <v>449.45587997664074</v>
          </cell>
        </row>
        <row r="106">
          <cell r="C106">
            <v>280</v>
          </cell>
          <cell r="D106">
            <v>784</v>
          </cell>
          <cell r="E106">
            <v>78400</v>
          </cell>
          <cell r="F106">
            <v>7850</v>
          </cell>
          <cell r="G106">
            <v>615.44000000000005</v>
          </cell>
          <cell r="H106">
            <v>615.75216010359941</v>
          </cell>
          <cell r="I106">
            <v>61575.216010359945</v>
          </cell>
          <cell r="J106">
            <v>7850</v>
          </cell>
          <cell r="K106">
            <v>483.36544568132553</v>
          </cell>
        </row>
        <row r="107">
          <cell r="C107">
            <v>290</v>
          </cell>
          <cell r="D107">
            <v>841</v>
          </cell>
          <cell r="E107">
            <v>84100</v>
          </cell>
          <cell r="F107">
            <v>7850</v>
          </cell>
          <cell r="G107">
            <v>660.18499999999995</v>
          </cell>
          <cell r="H107">
            <v>660.51985541725401</v>
          </cell>
          <cell r="I107">
            <v>66051.9855417254</v>
          </cell>
          <cell r="J107">
            <v>7850</v>
          </cell>
          <cell r="K107">
            <v>518.50808650254442</v>
          </cell>
        </row>
        <row r="108">
          <cell r="C108">
            <v>300</v>
          </cell>
          <cell r="D108">
            <v>900</v>
          </cell>
          <cell r="E108">
            <v>90000</v>
          </cell>
          <cell r="F108">
            <v>7850</v>
          </cell>
          <cell r="G108">
            <v>706.5</v>
          </cell>
          <cell r="H108">
            <v>706.85834705770344</v>
          </cell>
          <cell r="I108">
            <v>70685.83470577035</v>
          </cell>
          <cell r="J108">
            <v>7850</v>
          </cell>
          <cell r="K108">
            <v>554.88380244029725</v>
          </cell>
        </row>
        <row r="109">
          <cell r="C109">
            <v>310</v>
          </cell>
          <cell r="D109">
            <v>961</v>
          </cell>
          <cell r="E109">
            <v>96100</v>
          </cell>
          <cell r="F109">
            <v>7850</v>
          </cell>
          <cell r="G109">
            <v>754.38499999999999</v>
          </cell>
          <cell r="H109">
            <v>754.76763502494782</v>
          </cell>
          <cell r="I109">
            <v>75476.763502494781</v>
          </cell>
          <cell r="J109">
            <v>7850</v>
          </cell>
          <cell r="K109">
            <v>592.49259349458407</v>
          </cell>
        </row>
        <row r="110">
          <cell r="C110">
            <v>320</v>
          </cell>
          <cell r="D110">
            <v>1024</v>
          </cell>
          <cell r="E110">
            <v>102400</v>
          </cell>
          <cell r="F110">
            <v>7850</v>
          </cell>
          <cell r="G110">
            <v>803.84</v>
          </cell>
          <cell r="H110">
            <v>804.24771931898704</v>
          </cell>
          <cell r="I110">
            <v>80424.771931898707</v>
          </cell>
          <cell r="J110">
            <v>7850</v>
          </cell>
          <cell r="K110">
            <v>631.33445966540478</v>
          </cell>
        </row>
        <row r="111">
          <cell r="C111">
            <v>330</v>
          </cell>
          <cell r="D111">
            <v>1089</v>
          </cell>
          <cell r="E111">
            <v>108900</v>
          </cell>
          <cell r="F111">
            <v>7850</v>
          </cell>
          <cell r="G111">
            <v>854.86500000000001</v>
          </cell>
          <cell r="H111">
            <v>855.2985999398212</v>
          </cell>
          <cell r="I111">
            <v>85529.859993982114</v>
          </cell>
          <cell r="J111">
            <v>7850</v>
          </cell>
          <cell r="K111">
            <v>671.40940095275971</v>
          </cell>
        </row>
        <row r="112">
          <cell r="C112">
            <v>340</v>
          </cell>
          <cell r="D112">
            <v>1156</v>
          </cell>
          <cell r="E112">
            <v>115600</v>
          </cell>
          <cell r="F112">
            <v>7850</v>
          </cell>
          <cell r="G112">
            <v>907.46</v>
          </cell>
          <cell r="H112">
            <v>907.9202768874502</v>
          </cell>
          <cell r="I112">
            <v>90792.027688745016</v>
          </cell>
          <cell r="J112">
            <v>7850</v>
          </cell>
          <cell r="K112">
            <v>712.71741735664841</v>
          </cell>
        </row>
        <row r="113">
          <cell r="C113">
            <v>350</v>
          </cell>
          <cell r="D113">
            <v>1225</v>
          </cell>
          <cell r="E113">
            <v>122500</v>
          </cell>
          <cell r="F113">
            <v>7850</v>
          </cell>
          <cell r="G113">
            <v>961.625</v>
          </cell>
          <cell r="H113">
            <v>962.11275016187415</v>
          </cell>
          <cell r="I113">
            <v>96211.275016187414</v>
          </cell>
          <cell r="J113">
            <v>7850</v>
          </cell>
          <cell r="K113">
            <v>755.25850887707122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0.61653755826699685</v>
          </cell>
        </row>
        <row r="11">
          <cell r="C11">
            <v>0.88781408390447547</v>
          </cell>
        </row>
      </sheetData>
      <sheetData sheetId="7" refreshError="1"/>
      <sheetData sheetId="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  <row r="7">
          <cell r="C7">
            <v>0.39458403729087799</v>
          </cell>
        </row>
        <row r="15">
          <cell r="C15">
            <v>1.5783361491635119</v>
          </cell>
        </row>
        <row r="18">
          <cell r="C18">
            <v>2.2257005853438585</v>
          </cell>
        </row>
      </sheetData>
      <sheetData sheetId="12"/>
      <sheetData sheetId="13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28">
          <cell r="E28">
            <v>1200000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SKS"/>
      <sheetName val="Rekapitulasi"/>
      <sheetName val="Kuantitas"/>
      <sheetName val="Analisa"/>
      <sheetName val="DU&amp;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F8">
            <v>26000</v>
          </cell>
        </row>
        <row r="9">
          <cell r="F9">
            <v>25000</v>
          </cell>
        </row>
        <row r="13">
          <cell r="F13">
            <v>40000</v>
          </cell>
        </row>
        <row r="16">
          <cell r="F16">
            <v>87500</v>
          </cell>
        </row>
        <row r="17">
          <cell r="F17">
            <v>315000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/>
      <sheetData sheetId="3">
        <row r="21">
          <cell r="F21">
            <v>15500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BOQ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>
        <row r="8">
          <cell r="F8">
            <v>5000</v>
          </cell>
        </row>
        <row r="9">
          <cell r="F9">
            <v>8571.4285714285706</v>
          </cell>
        </row>
        <row r="10">
          <cell r="F10">
            <v>8714.2857142857138</v>
          </cell>
        </row>
        <row r="53">
          <cell r="F53">
            <v>313780.95962414716</v>
          </cell>
        </row>
        <row r="54">
          <cell r="F54">
            <v>313780.95962414716</v>
          </cell>
        </row>
        <row r="60">
          <cell r="F60">
            <v>10159.878000000001</v>
          </cell>
        </row>
        <row r="62">
          <cell r="F62">
            <v>6600</v>
          </cell>
        </row>
        <row r="63">
          <cell r="F63">
            <v>62800</v>
          </cell>
        </row>
        <row r="68">
          <cell r="F68">
            <v>201800</v>
          </cell>
        </row>
        <row r="71">
          <cell r="F71">
            <v>10000</v>
          </cell>
        </row>
        <row r="72">
          <cell r="F72">
            <v>1250000</v>
          </cell>
        </row>
        <row r="79">
          <cell r="F79">
            <v>289197.36378100881</v>
          </cell>
        </row>
        <row r="80">
          <cell r="F80">
            <v>271868.66119518824</v>
          </cell>
        </row>
        <row r="92">
          <cell r="F92">
            <v>1436287.5086616194</v>
          </cell>
        </row>
        <row r="93">
          <cell r="F93">
            <v>12500</v>
          </cell>
        </row>
        <row r="100">
          <cell r="F100">
            <v>129900</v>
          </cell>
        </row>
        <row r="103">
          <cell r="F103">
            <v>1014307.7645066389</v>
          </cell>
        </row>
        <row r="104">
          <cell r="F104">
            <v>11000</v>
          </cell>
        </row>
      </sheetData>
      <sheetData sheetId="12" refreshError="1"/>
      <sheetData sheetId="13" refreshError="1"/>
      <sheetData sheetId="14">
        <row r="9">
          <cell r="AW9">
            <v>300787.08352182875</v>
          </cell>
        </row>
        <row r="12">
          <cell r="AW12">
            <v>144312.9850191994</v>
          </cell>
        </row>
        <row r="13">
          <cell r="AW13">
            <v>85403.799999999988</v>
          </cell>
        </row>
        <row r="14">
          <cell r="AW14">
            <v>445959.3265606974</v>
          </cell>
        </row>
        <row r="15">
          <cell r="AW15">
            <v>234488.10456187683</v>
          </cell>
        </row>
        <row r="16">
          <cell r="AW16">
            <v>401635.43087512313</v>
          </cell>
        </row>
        <row r="17">
          <cell r="AW17">
            <v>384163.03410029551</v>
          </cell>
        </row>
        <row r="18">
          <cell r="AW18">
            <v>382428.92723472411</v>
          </cell>
        </row>
        <row r="20">
          <cell r="AW20">
            <v>401108.56608175358</v>
          </cell>
        </row>
        <row r="22">
          <cell r="AW22">
            <v>347470.30373142357</v>
          </cell>
        </row>
        <row r="23">
          <cell r="AW23">
            <v>176108.85500413002</v>
          </cell>
        </row>
        <row r="24">
          <cell r="AW24">
            <v>244962.44703251612</v>
          </cell>
        </row>
        <row r="26">
          <cell r="AW26">
            <v>259627.17745912666</v>
          </cell>
        </row>
        <row r="29">
          <cell r="AW29">
            <v>39156.107186016401</v>
          </cell>
        </row>
        <row r="30">
          <cell r="AW30">
            <v>225494.94168084295</v>
          </cell>
        </row>
        <row r="34">
          <cell r="AW34">
            <v>821698.04815772467</v>
          </cell>
        </row>
        <row r="36">
          <cell r="AW36">
            <v>398258.50574747165</v>
          </cell>
        </row>
        <row r="38">
          <cell r="AW38">
            <v>445609.03544891451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"/>
      <sheetName val="Progress"/>
      <sheetName val="Material"/>
      <sheetName val="Koef"/>
      <sheetName val="Mixer"/>
    </sheetNames>
    <sheetDataSet>
      <sheetData sheetId="0"/>
      <sheetData sheetId="1">
        <row r="15">
          <cell r="C15">
            <v>35</v>
          </cell>
        </row>
        <row r="23">
          <cell r="C23">
            <v>11.8575</v>
          </cell>
        </row>
      </sheetData>
      <sheetData sheetId="2"/>
      <sheetData sheetId="3"/>
      <sheetData sheetId="4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RAP"/>
      <sheetName val="Rekap"/>
      <sheetName val="Kuan&amp;Harga"/>
      <sheetName val="Ls-Mobilisasi (OK)"/>
      <sheetName val="SAT-DAS"/>
      <sheetName val="Ur-Anl (ok )"/>
      <sheetName val="Analisa (ok)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7">
          <cell r="I27">
            <v>65700</v>
          </cell>
        </row>
        <row r="76">
          <cell r="I76">
            <v>77290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841">
          <cell r="U841" t="str">
            <v xml:space="preserve">Analisa EI-233 </v>
          </cell>
        </row>
        <row r="843">
          <cell r="L843" t="str">
            <v xml:space="preserve">ANALISA HARGA SATUAN </v>
          </cell>
        </row>
        <row r="846">
          <cell r="L846" t="str">
            <v xml:space="preserve">  Nama Penawar</v>
          </cell>
          <cell r="P846" t="str">
            <v>CV. MITA RIZEKI</v>
          </cell>
        </row>
        <row r="847">
          <cell r="L847" t="str">
            <v xml:space="preserve">  Nama Proyek </v>
          </cell>
          <cell r="P847" t="str">
            <v xml:space="preserve">Bagian Proyek Pembangunan Jalan Lipat Kajang - Batas Sumut </v>
          </cell>
        </row>
        <row r="848">
          <cell r="L848" t="str">
            <v xml:space="preserve">  Nama paket</v>
          </cell>
          <cell r="P848" t="str">
            <v xml:space="preserve">Pembangunan Jalan Lipat Kajang - Lea Paris - Bts. Sumut </v>
          </cell>
        </row>
        <row r="849">
          <cell r="L849" t="str">
            <v xml:space="preserve">  No. Paket Kontrak</v>
          </cell>
          <cell r="P849" t="str">
            <v>BANG - 07 A</v>
          </cell>
        </row>
        <row r="850">
          <cell r="L850" t="str">
            <v xml:space="preserve">  Provinsi</v>
          </cell>
          <cell r="P850" t="str">
            <v>Nanggroe Aceh Darussalam</v>
          </cell>
        </row>
        <row r="851">
          <cell r="P851" t="str">
            <v>:</v>
          </cell>
        </row>
        <row r="852">
          <cell r="L852" t="str">
            <v>ITEM PEMBAYARAN NO.</v>
          </cell>
          <cell r="P852" t="str">
            <v>:  2.3 (3)</v>
          </cell>
          <cell r="S852" t="str">
            <v>PERKIRAAN VOL. PEK.</v>
          </cell>
          <cell r="U852" t="str">
            <v>:</v>
          </cell>
          <cell r="V852">
            <v>0</v>
          </cell>
        </row>
        <row r="853">
          <cell r="L853" t="str">
            <v>JENIS PEKERJAAN</v>
          </cell>
          <cell r="P853" t="str">
            <v>:  Gorong2 Pipa Beton Bertulang DIA. 75 - 120 CM,</v>
          </cell>
          <cell r="U853" t="str">
            <v>:</v>
          </cell>
          <cell r="V853" t="str">
            <v>Rp</v>
          </cell>
        </row>
        <row r="854">
          <cell r="L854" t="str">
            <v>SATUAN PEMBAYARAN</v>
          </cell>
          <cell r="P854" t="str">
            <v>:  M1</v>
          </cell>
          <cell r="S854" t="str">
            <v>% THD. BIAYA PROYEK</v>
          </cell>
          <cell r="U854" t="str">
            <v>:</v>
          </cell>
          <cell r="V854">
            <v>0</v>
          </cell>
        </row>
        <row r="857">
          <cell r="R857" t="str">
            <v>PERKIRAAN</v>
          </cell>
          <cell r="S857" t="str">
            <v>HARGA</v>
          </cell>
          <cell r="T857" t="str">
            <v>JUMLAH</v>
          </cell>
        </row>
        <row r="858">
          <cell r="L858" t="str">
            <v>NO.</v>
          </cell>
          <cell r="N858" t="str">
            <v>KOMPONEN</v>
          </cell>
          <cell r="Q858" t="str">
            <v>SATUAN</v>
          </cell>
          <cell r="R858" t="str">
            <v>KUANTITAS</v>
          </cell>
          <cell r="S858" t="str">
            <v>SATUAN</v>
          </cell>
          <cell r="T858" t="str">
            <v>HARGA</v>
          </cell>
        </row>
        <row r="859">
          <cell r="S859" t="str">
            <v>(Rp.)</v>
          </cell>
          <cell r="T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Q864" t="str">
            <v>Jam</v>
          </cell>
          <cell r="R864">
            <v>9.3333333333333339</v>
          </cell>
          <cell r="S864">
            <v>2970.2857142857142</v>
          </cell>
          <cell r="V864">
            <v>27722.666666666668</v>
          </cell>
        </row>
        <row r="865">
          <cell r="L865" t="str">
            <v>2.</v>
          </cell>
          <cell r="N865" t="str">
            <v>Tukang</v>
          </cell>
          <cell r="Q865" t="str">
            <v>Jam</v>
          </cell>
          <cell r="R865">
            <v>1.1666666666666667</v>
          </cell>
          <cell r="S865">
            <v>3147.8571428571427</v>
          </cell>
          <cell r="V865">
            <v>3672.5</v>
          </cell>
        </row>
        <row r="866">
          <cell r="L866" t="str">
            <v>3.</v>
          </cell>
          <cell r="N866" t="str">
            <v>Mandor</v>
          </cell>
          <cell r="Q866" t="str">
            <v>Jam</v>
          </cell>
          <cell r="R866">
            <v>1.1666666666666667</v>
          </cell>
          <cell r="S866">
            <v>3632.1428571428573</v>
          </cell>
          <cell r="V866">
            <v>4237.5000000000009</v>
          </cell>
        </row>
        <row r="868">
          <cell r="R868" t="str">
            <v xml:space="preserve">JUMLAH HARGA TENAGA   </v>
          </cell>
          <cell r="V868">
            <v>35632.666666666672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Beton K-300</v>
          </cell>
          <cell r="Q872" t="str">
            <v>M3</v>
          </cell>
          <cell r="R872">
            <v>0.28970000000000001</v>
          </cell>
          <cell r="S872">
            <v>605873</v>
          </cell>
          <cell r="V872">
            <v>175521.4081</v>
          </cell>
        </row>
        <row r="873">
          <cell r="L873" t="str">
            <v>2.</v>
          </cell>
          <cell r="N873" t="str">
            <v>Baja Tulangan</v>
          </cell>
          <cell r="Q873" t="str">
            <v>Kg</v>
          </cell>
          <cell r="R873">
            <v>31.870699999999999</v>
          </cell>
          <cell r="S873">
            <v>5800</v>
          </cell>
          <cell r="V873">
            <v>184850.06</v>
          </cell>
        </row>
        <row r="874">
          <cell r="L874" t="str">
            <v>3.</v>
          </cell>
          <cell r="N874" t="str">
            <v>Urugan Porus</v>
          </cell>
          <cell r="Q874" t="str">
            <v>M3</v>
          </cell>
          <cell r="R874">
            <v>0.31030000000000002</v>
          </cell>
          <cell r="S874">
            <v>94791.182676543947</v>
          </cell>
          <cell r="V874">
            <v>29413.703984531589</v>
          </cell>
        </row>
        <row r="875">
          <cell r="L875" t="str">
            <v>4.</v>
          </cell>
          <cell r="N875" t="str">
            <v>Mat. Pilihan</v>
          </cell>
          <cell r="Q875" t="str">
            <v>M3</v>
          </cell>
          <cell r="R875">
            <v>1.9114</v>
          </cell>
          <cell r="S875">
            <v>69600</v>
          </cell>
          <cell r="V875">
            <v>133033.44</v>
          </cell>
        </row>
        <row r="878">
          <cell r="R878" t="str">
            <v xml:space="preserve">JUMLAH HARGA BAHAN   </v>
          </cell>
          <cell r="V878">
            <v>522818.61208453157</v>
          </cell>
        </row>
        <row r="880">
          <cell r="L880" t="str">
            <v>C.</v>
          </cell>
          <cell r="N880" t="str">
            <v>PERALATAN</v>
          </cell>
        </row>
        <row r="882">
          <cell r="L882" t="str">
            <v>1.</v>
          </cell>
          <cell r="N882" t="str">
            <v>Tamper</v>
          </cell>
          <cell r="Q882" t="str">
            <v>Jam</v>
          </cell>
          <cell r="R882">
            <v>0.46756400602409631</v>
          </cell>
          <cell r="S882">
            <v>12661.558707685757</v>
          </cell>
          <cell r="V882">
            <v>5920.0891118748323</v>
          </cell>
        </row>
        <row r="883">
          <cell r="L883" t="str">
            <v>2.</v>
          </cell>
          <cell r="N883" t="str">
            <v>Dump Truck</v>
          </cell>
          <cell r="Q883" t="str">
            <v>Jam</v>
          </cell>
          <cell r="R883">
            <v>0.4272088353413655</v>
          </cell>
          <cell r="S883">
            <v>68438.487114906166</v>
          </cell>
          <cell r="V883">
            <v>29237.526372884113</v>
          </cell>
        </row>
        <row r="884">
          <cell r="L884" t="str">
            <v>3.</v>
          </cell>
          <cell r="N884" t="str">
            <v>Alat  Bantu</v>
          </cell>
          <cell r="Q884" t="str">
            <v>Ls</v>
          </cell>
          <cell r="R884">
            <v>1</v>
          </cell>
          <cell r="S884">
            <v>250</v>
          </cell>
          <cell r="V884">
            <v>250</v>
          </cell>
        </row>
        <row r="890">
          <cell r="R890" t="str">
            <v xml:space="preserve">JUMLAH HARGA PERALATAN   </v>
          </cell>
          <cell r="V890">
            <v>35407.615484758942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V892">
            <v>593858.89423595718</v>
          </cell>
        </row>
        <row r="893">
          <cell r="L893" t="str">
            <v>E.</v>
          </cell>
          <cell r="N893" t="str">
            <v>OVERHEAD &amp; PROFIT</v>
          </cell>
          <cell r="Q893">
            <v>10</v>
          </cell>
          <cell r="R893" t="str">
            <v>%  x  D</v>
          </cell>
          <cell r="V893">
            <v>59385.88942359572</v>
          </cell>
        </row>
        <row r="894">
          <cell r="L894" t="str">
            <v>F.</v>
          </cell>
          <cell r="N894" t="str">
            <v>HARGA SATUAN PEKERJAAN  ( D + E )</v>
          </cell>
          <cell r="V894">
            <v>653244.78365955292</v>
          </cell>
        </row>
        <row r="895">
          <cell r="L895" t="str">
            <v>G</v>
          </cell>
          <cell r="N895" t="str">
            <v>DIBULATKAN</v>
          </cell>
          <cell r="V895">
            <v>653244</v>
          </cell>
        </row>
        <row r="896">
          <cell r="L896" t="str">
            <v>Note:        1</v>
          </cell>
          <cell r="N896" t="str">
            <v>Satuan dapat berdasarkan atas jam operasi untuk Tenaga Kerja dan Peralatan, volume dan/atau ukuran</v>
          </cell>
        </row>
        <row r="897">
          <cell r="N897" t="str">
            <v>berat untuk bahan-bahan.</v>
          </cell>
        </row>
        <row r="898">
          <cell r="L898">
            <v>2</v>
          </cell>
          <cell r="N898" t="str">
            <v>Kuantitas satuan adalah kuantitas setiap komponen untuk menyelesaikan satu satuan pekerjaan dari nomor</v>
          </cell>
        </row>
        <row r="899">
          <cell r="N899" t="str">
            <v>mata pembayaran.</v>
          </cell>
        </row>
        <row r="900">
          <cell r="L900">
            <v>3</v>
          </cell>
          <cell r="N900" t="str">
            <v>Biaya satuan untuk peralatan sudah termasuk bahan bakar, bahan habis dipakai dan operator.</v>
          </cell>
        </row>
        <row r="901">
          <cell r="L901">
            <v>4</v>
          </cell>
          <cell r="N901" t="str">
            <v>Biaya satuan sudah termasuk pengeluaran untuk seluruh pajak yang berkaitan (tetapi tidak termasuk PPN</v>
          </cell>
        </row>
        <row r="902">
          <cell r="N902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9">
          <cell r="Q19">
            <v>40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"/>
      <sheetName val="Ans"/>
      <sheetName val="Kua"/>
      <sheetName val="DH"/>
      <sheetName val="SCH"/>
      <sheetName val="AT"/>
      <sheetName val="PM"/>
      <sheetName val="TAB"/>
      <sheetName val="Sub"/>
      <sheetName val="Koreksi"/>
      <sheetName val="Met"/>
      <sheetName val="Insert Data"/>
      <sheetName val="PQ"/>
    </sheetNames>
    <sheetDataSet>
      <sheetData sheetId="0" refreshError="1"/>
      <sheetData sheetId="1" refreshError="1"/>
      <sheetData sheetId="2" refreshError="1"/>
      <sheetData sheetId="3" refreshError="1">
        <row r="12">
          <cell r="G12">
            <v>10625</v>
          </cell>
        </row>
        <row r="13">
          <cell r="G13">
            <v>11875</v>
          </cell>
        </row>
        <row r="33">
          <cell r="G33">
            <v>15000</v>
          </cell>
        </row>
      </sheetData>
      <sheetData sheetId="4" refreshError="1"/>
      <sheetData sheetId="5" refreshError="1"/>
      <sheetData sheetId="6" refreshError="1"/>
      <sheetData sheetId="7" refreshError="1">
        <row r="11">
          <cell r="I11">
            <v>0.13</v>
          </cell>
          <cell r="K11">
            <v>0.26</v>
          </cell>
        </row>
        <row r="23">
          <cell r="F23">
            <v>15</v>
          </cell>
          <cell r="I23">
            <v>1.5</v>
          </cell>
          <cell r="K23">
            <v>3</v>
          </cell>
        </row>
        <row r="27">
          <cell r="I27">
            <v>0.08</v>
          </cell>
          <cell r="K27">
            <v>0.16</v>
          </cell>
        </row>
        <row r="32">
          <cell r="I32">
            <v>0.26</v>
          </cell>
          <cell r="K32">
            <v>0.52</v>
          </cell>
        </row>
        <row r="39">
          <cell r="F39">
            <v>2.2000000000000002</v>
          </cell>
          <cell r="I39">
            <v>0.22</v>
          </cell>
          <cell r="K39">
            <v>0.44</v>
          </cell>
        </row>
        <row r="43">
          <cell r="F43">
            <v>6.2</v>
          </cell>
          <cell r="I43">
            <v>0.62</v>
          </cell>
          <cell r="K43">
            <v>1.24</v>
          </cell>
        </row>
        <row r="47">
          <cell r="F47">
            <v>4.2</v>
          </cell>
          <cell r="I47">
            <v>0.42</v>
          </cell>
          <cell r="K47">
            <v>0.84</v>
          </cell>
        </row>
        <row r="51">
          <cell r="I51">
            <v>0.22</v>
          </cell>
          <cell r="K51">
            <v>0.44</v>
          </cell>
        </row>
        <row r="55">
          <cell r="I55">
            <v>0.22</v>
          </cell>
          <cell r="K55">
            <v>0.44</v>
          </cell>
        </row>
        <row r="59">
          <cell r="F59">
            <v>2.2000000000000002</v>
          </cell>
          <cell r="I59">
            <v>0.22</v>
          </cell>
          <cell r="K59">
            <v>0.44</v>
          </cell>
        </row>
        <row r="63">
          <cell r="F63">
            <v>2.2000000000000002</v>
          </cell>
          <cell r="G63">
            <v>0.66</v>
          </cell>
          <cell r="I63">
            <v>0.22</v>
          </cell>
          <cell r="K63">
            <v>0.44</v>
          </cell>
        </row>
        <row r="67">
          <cell r="I67">
            <v>0.12</v>
          </cell>
          <cell r="K67">
            <v>0.24</v>
          </cell>
        </row>
        <row r="71">
          <cell r="F71">
            <v>1.1100000000000001</v>
          </cell>
          <cell r="I71">
            <v>0.111</v>
          </cell>
          <cell r="K71">
            <v>0.222</v>
          </cell>
        </row>
        <row r="74">
          <cell r="F74">
            <v>1.2</v>
          </cell>
          <cell r="I74">
            <v>0.12</v>
          </cell>
          <cell r="K74">
            <v>0.24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3">
          <cell r="E73">
            <v>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"/>
      <sheetName val="Hrg"/>
      <sheetName val="Anl"/>
      <sheetName val="RAB RKB"/>
      <sheetName val="RB RD"/>
      <sheetName val="RAB WC"/>
      <sheetName val="Srn&amp;Mbl"/>
      <sheetName val="Rkp"/>
      <sheetName val="Schd"/>
      <sheetName val="LKP Des"/>
      <sheetName val="LKP Jan"/>
      <sheetName val="LKP Feb"/>
      <sheetName val="LKP Mar"/>
      <sheetName val="MC Des"/>
      <sheetName val="MC Jan"/>
      <sheetName val="MC Feb"/>
      <sheetName val="MC Mar"/>
    </sheetNames>
    <sheetDataSet>
      <sheetData sheetId="0">
        <row r="2">
          <cell r="C2" t="str">
            <v>CV. BUDHI GUNA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>
        <row r="58">
          <cell r="D58">
            <v>164904743.29722223</v>
          </cell>
        </row>
        <row r="134">
          <cell r="D134">
            <v>10980685.084722221</v>
          </cell>
        </row>
      </sheetData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U"/>
      <sheetName val="Bhn+Uph"/>
      <sheetName val="Anl-A"/>
      <sheetName val="Anl-B"/>
      <sheetName val="Anl-C"/>
      <sheetName val="Anl-D"/>
      <sheetName val="Anl-E"/>
      <sheetName val="Anl-F"/>
      <sheetName val="Anl-G"/>
      <sheetName val="Anl-H"/>
      <sheetName val="Anl-I"/>
      <sheetName val="Anl-J"/>
      <sheetName val="Anl-K"/>
      <sheetName val="Anl-L"/>
      <sheetName val="Anl-M"/>
      <sheetName val="Anl-N"/>
      <sheetName val="Anl-P"/>
      <sheetName val="HSP"/>
      <sheetName val="RAB"/>
      <sheetName val="Vol"/>
      <sheetName val="back up analisa"/>
    </sheetNames>
    <sheetDataSet>
      <sheetData sheetId="0" refreshError="1"/>
      <sheetData sheetId="1">
        <row r="15">
          <cell r="B15" t="str">
            <v>UPAH</v>
          </cell>
        </row>
        <row r="17">
          <cell r="B17" t="str">
            <v>Mandor</v>
          </cell>
          <cell r="C17" t="str">
            <v>oh</v>
          </cell>
          <cell r="D17">
            <v>95496.24</v>
          </cell>
          <cell r="E17">
            <v>95496.24</v>
          </cell>
        </row>
        <row r="18">
          <cell r="B18" t="str">
            <v>Mekanik</v>
          </cell>
          <cell r="C18" t="str">
            <v>oh</v>
          </cell>
          <cell r="D18">
            <v>79228.75</v>
          </cell>
          <cell r="E18">
            <v>79228.75</v>
          </cell>
        </row>
        <row r="19">
          <cell r="B19" t="str">
            <v>Mekanik pembantu</v>
          </cell>
          <cell r="C19" t="str">
            <v>oh</v>
          </cell>
          <cell r="D19">
            <v>53923.77</v>
          </cell>
          <cell r="E19">
            <v>53923.77</v>
          </cell>
        </row>
        <row r="20">
          <cell r="B20" t="str">
            <v>Kepala tukang</v>
          </cell>
          <cell r="C20" t="str">
            <v>oh</v>
          </cell>
          <cell r="D20">
            <v>87151.63</v>
          </cell>
          <cell r="E20">
            <v>87151.63</v>
          </cell>
        </row>
        <row r="21">
          <cell r="B21" t="str">
            <v>Tukang batu</v>
          </cell>
          <cell r="C21" t="str">
            <v>oh</v>
          </cell>
          <cell r="D21">
            <v>79228.75</v>
          </cell>
          <cell r="E21">
            <v>79228.75</v>
          </cell>
        </row>
        <row r="22">
          <cell r="B22" t="str">
            <v>Tukang kayu</v>
          </cell>
          <cell r="C22" t="str">
            <v>oh</v>
          </cell>
          <cell r="D22">
            <v>79228.75</v>
          </cell>
          <cell r="E22">
            <v>79228.75</v>
          </cell>
        </row>
        <row r="23">
          <cell r="B23" t="str">
            <v>Tukang besi / tukang las</v>
          </cell>
          <cell r="C23" t="str">
            <v>oh</v>
          </cell>
          <cell r="D23">
            <v>75000</v>
          </cell>
          <cell r="E23">
            <v>75000</v>
          </cell>
        </row>
        <row r="24">
          <cell r="B24" t="str">
            <v>Tukang cat</v>
          </cell>
          <cell r="C24" t="str">
            <v>oh</v>
          </cell>
          <cell r="D24">
            <v>79228.75</v>
          </cell>
          <cell r="E24">
            <v>79228.75</v>
          </cell>
        </row>
        <row r="25">
          <cell r="B25" t="str">
            <v>Tukang listrik</v>
          </cell>
          <cell r="C25" t="str">
            <v>oh</v>
          </cell>
          <cell r="D25">
            <v>75000</v>
          </cell>
          <cell r="E25">
            <v>75000</v>
          </cell>
        </row>
        <row r="26">
          <cell r="B26" t="str">
            <v>Tukang ledeng / pipa</v>
          </cell>
          <cell r="C26" t="str">
            <v>oh</v>
          </cell>
          <cell r="D26">
            <v>75000</v>
          </cell>
          <cell r="E26">
            <v>75000</v>
          </cell>
        </row>
        <row r="27">
          <cell r="B27" t="str">
            <v>Tukang gali sumur</v>
          </cell>
          <cell r="C27" t="str">
            <v>oh</v>
          </cell>
          <cell r="D27">
            <v>75000</v>
          </cell>
          <cell r="E27">
            <v>75000</v>
          </cell>
        </row>
        <row r="28">
          <cell r="B28" t="str">
            <v>Operator terlatih</v>
          </cell>
          <cell r="C28" t="str">
            <v>oh</v>
          </cell>
          <cell r="D28">
            <v>82241.25</v>
          </cell>
          <cell r="E28">
            <v>82241.25</v>
          </cell>
        </row>
        <row r="29">
          <cell r="B29" t="str">
            <v>Operator kurang terlatih</v>
          </cell>
          <cell r="C29" t="str">
            <v>oh</v>
          </cell>
          <cell r="D29">
            <v>68986.259999999995</v>
          </cell>
          <cell r="E29">
            <v>68986.259999999995</v>
          </cell>
        </row>
        <row r="30">
          <cell r="B30" t="str">
            <v>Pembantu operator</v>
          </cell>
          <cell r="C30" t="str">
            <v>oh</v>
          </cell>
          <cell r="D30">
            <v>51815.02</v>
          </cell>
          <cell r="E30">
            <v>51815.02</v>
          </cell>
        </row>
        <row r="31">
          <cell r="B31" t="str">
            <v>Supir material / truck</v>
          </cell>
          <cell r="C31" t="str">
            <v>oh</v>
          </cell>
          <cell r="D31">
            <v>76216.259999999995</v>
          </cell>
          <cell r="E31">
            <v>76216.259999999995</v>
          </cell>
        </row>
        <row r="32">
          <cell r="B32" t="str">
            <v>Supir personil / mobil ringan</v>
          </cell>
          <cell r="C32" t="str">
            <v>oh</v>
          </cell>
          <cell r="D32">
            <v>68750</v>
          </cell>
          <cell r="E32">
            <v>68750</v>
          </cell>
        </row>
        <row r="33">
          <cell r="B33" t="str">
            <v>Pembantu supir / kenek</v>
          </cell>
          <cell r="C33" t="str">
            <v>oh</v>
          </cell>
          <cell r="D33">
            <v>51815.02</v>
          </cell>
          <cell r="E33">
            <v>51815.02</v>
          </cell>
        </row>
        <row r="34">
          <cell r="B34" t="str">
            <v>Pekerja terlatih</v>
          </cell>
          <cell r="C34" t="str">
            <v>oh</v>
          </cell>
          <cell r="D34">
            <v>67178.77</v>
          </cell>
          <cell r="E34">
            <v>67178.77</v>
          </cell>
        </row>
        <row r="35">
          <cell r="B35" t="str">
            <v>Pekerja agak terlatih</v>
          </cell>
          <cell r="C35" t="str">
            <v>oh</v>
          </cell>
          <cell r="D35">
            <v>53125</v>
          </cell>
          <cell r="E35">
            <v>53125</v>
          </cell>
        </row>
        <row r="36">
          <cell r="B36" t="str">
            <v>Pekerja tak terlatih</v>
          </cell>
          <cell r="C36" t="str">
            <v>oh</v>
          </cell>
          <cell r="D36">
            <v>48802.53</v>
          </cell>
          <cell r="E36">
            <v>48802.53</v>
          </cell>
        </row>
        <row r="37">
          <cell r="B37" t="str">
            <v>Penjaga</v>
          </cell>
          <cell r="C37" t="str">
            <v>oh</v>
          </cell>
          <cell r="D37">
            <v>60250</v>
          </cell>
          <cell r="E37">
            <v>60250</v>
          </cell>
        </row>
        <row r="38">
          <cell r="B38" t="str">
            <v>Pemasak aspal</v>
          </cell>
          <cell r="C38" t="str">
            <v>oh</v>
          </cell>
          <cell r="D38">
            <v>48802.53</v>
          </cell>
          <cell r="E38">
            <v>48802.53</v>
          </cell>
        </row>
        <row r="39">
          <cell r="B39" t="str">
            <v>Pengangkut air</v>
          </cell>
          <cell r="C39" t="str">
            <v>oh</v>
          </cell>
          <cell r="D39">
            <v>48802.53</v>
          </cell>
          <cell r="E39">
            <v>48802.53</v>
          </cell>
        </row>
        <row r="41">
          <cell r="B41" t="str">
            <v>MATERIAL/BAHAN</v>
          </cell>
        </row>
        <row r="43">
          <cell r="B43" t="str">
            <v>Alang-alang</v>
          </cell>
          <cell r="C43" t="str">
            <v>ikat</v>
          </cell>
          <cell r="D43">
            <v>1500</v>
          </cell>
        </row>
        <row r="44">
          <cell r="B44" t="str">
            <v>Alat-alat bantu**</v>
          </cell>
          <cell r="C44" t="str">
            <v>set</v>
          </cell>
          <cell r="D44">
            <v>134900</v>
          </cell>
          <cell r="E44">
            <v>134900</v>
          </cell>
        </row>
        <row r="45">
          <cell r="B45" t="str">
            <v>All socket reducer PVC ø 100 x 80 (mm)</v>
          </cell>
          <cell r="C45" t="str">
            <v>unit</v>
          </cell>
          <cell r="D45">
            <v>75000</v>
          </cell>
          <cell r="E45">
            <v>75000</v>
          </cell>
        </row>
        <row r="46">
          <cell r="B46" t="str">
            <v>All socket reducer PVC ø 80 x 50 (mm)</v>
          </cell>
          <cell r="C46" t="str">
            <v>unit</v>
          </cell>
          <cell r="D46">
            <v>50000</v>
          </cell>
          <cell r="E46">
            <v>50000</v>
          </cell>
        </row>
        <row r="47">
          <cell r="B47" t="str">
            <v xml:space="preserve">Aluminium foil </v>
          </cell>
          <cell r="C47" t="str">
            <v>m²</v>
          </cell>
          <cell r="D47">
            <v>92000</v>
          </cell>
          <cell r="E47">
            <v>92000</v>
          </cell>
        </row>
        <row r="48">
          <cell r="B48" t="str">
            <v>Amplas</v>
          </cell>
          <cell r="C48" t="str">
            <v>lembar</v>
          </cell>
          <cell r="D48">
            <v>11600</v>
          </cell>
          <cell r="E48">
            <v>11600</v>
          </cell>
        </row>
        <row r="49">
          <cell r="B49" t="str">
            <v>Aspal bitumen</v>
          </cell>
          <cell r="C49" t="str">
            <v>kg</v>
          </cell>
          <cell r="D49">
            <v>12330.36</v>
          </cell>
          <cell r="E49">
            <v>12330.36</v>
          </cell>
        </row>
        <row r="50">
          <cell r="B50" t="str">
            <v xml:space="preserve">Atap alumunium super sheet uk. 1,8 x 6 (m), t = 0,2 mm (berwarna) </v>
          </cell>
          <cell r="C50" t="str">
            <v>m²</v>
          </cell>
          <cell r="D50">
            <v>265800</v>
          </cell>
          <cell r="E50">
            <v>265800</v>
          </cell>
        </row>
        <row r="51">
          <cell r="B51" t="str">
            <v>Atap asbes gelombang uk. 1,50 x 0,90 (m) tebal 4 mm</v>
          </cell>
          <cell r="C51" t="str">
            <v>lembar</v>
          </cell>
          <cell r="D51">
            <v>36814.699999999997</v>
          </cell>
          <cell r="E51">
            <v>36814.699999999997</v>
          </cell>
        </row>
        <row r="52">
          <cell r="B52" t="str">
            <v>Atap asbes gelombang uk. 1,50 x 1,05 (m) tebal 4 mm</v>
          </cell>
          <cell r="C52" t="str">
            <v>lembar</v>
          </cell>
          <cell r="D52">
            <v>71500</v>
          </cell>
          <cell r="E52">
            <v>71500</v>
          </cell>
        </row>
        <row r="53">
          <cell r="B53" t="str">
            <v>Atap asbes gelombang uk. 1,50 x 1,05 (m) tebal 6 mm</v>
          </cell>
          <cell r="C53" t="str">
            <v>lembar</v>
          </cell>
          <cell r="D53">
            <v>107200</v>
          </cell>
          <cell r="E53">
            <v>107200</v>
          </cell>
        </row>
        <row r="54">
          <cell r="B54" t="str">
            <v>Atap asbes gelombang uk. 1,80 x 0,92 (m) tebal 5 mm</v>
          </cell>
          <cell r="C54" t="str">
            <v>lembar</v>
          </cell>
          <cell r="D54">
            <v>41000</v>
          </cell>
          <cell r="E54">
            <v>41000</v>
          </cell>
        </row>
        <row r="55">
          <cell r="B55" t="str">
            <v>Atap asbes gelombang uk. 1,80 x 1,05 (m) tebal 4 mm</v>
          </cell>
          <cell r="C55" t="str">
            <v>lembar</v>
          </cell>
          <cell r="D55">
            <v>78500</v>
          </cell>
          <cell r="E55">
            <v>78500</v>
          </cell>
        </row>
        <row r="56">
          <cell r="B56" t="str">
            <v>Atap asbes gelombang uk. 1,80 x 1,08 (m) tebal 6 mm</v>
          </cell>
          <cell r="C56" t="str">
            <v>lembar</v>
          </cell>
          <cell r="D56">
            <v>55500</v>
          </cell>
          <cell r="E56">
            <v>55500</v>
          </cell>
        </row>
        <row r="57">
          <cell r="B57" t="str">
            <v>Atap asbes gelombang uk. 2,00 x 0,92 (m) tebal 5 mm</v>
          </cell>
          <cell r="C57" t="str">
            <v>lembar</v>
          </cell>
          <cell r="D57">
            <v>114400</v>
          </cell>
          <cell r="E57">
            <v>114400</v>
          </cell>
        </row>
        <row r="58">
          <cell r="B58" t="str">
            <v>Atap asbes gelombang uk. 2,10 x 1,05 (m) tebal 4 mm</v>
          </cell>
          <cell r="C58" t="str">
            <v>lembar</v>
          </cell>
          <cell r="D58">
            <v>91600</v>
          </cell>
          <cell r="E58">
            <v>91600</v>
          </cell>
        </row>
        <row r="59">
          <cell r="B59" t="str">
            <v>Atap asbes gelombang uk. 2,10 x 1,08 (m) tebal 6 mm</v>
          </cell>
          <cell r="C59" t="str">
            <v>lembar</v>
          </cell>
          <cell r="D59">
            <v>137100</v>
          </cell>
          <cell r="E59">
            <v>137100</v>
          </cell>
        </row>
        <row r="60">
          <cell r="B60" t="str">
            <v>Atap asbes gelombang uk. 2,25 x 0,92 (m) tebal 5 mm</v>
          </cell>
          <cell r="C60" t="str">
            <v>lembar</v>
          </cell>
          <cell r="D60">
            <v>128700</v>
          </cell>
          <cell r="E60">
            <v>128700</v>
          </cell>
        </row>
        <row r="61">
          <cell r="B61" t="str">
            <v>Atap asbes gelombang uk. 2,40 x 1,05 (m) tebal 4 mm</v>
          </cell>
          <cell r="C61" t="str">
            <v>lembar</v>
          </cell>
          <cell r="D61">
            <v>96400</v>
          </cell>
          <cell r="E61">
            <v>96400</v>
          </cell>
        </row>
        <row r="62">
          <cell r="B62" t="str">
            <v>Atap asbes gelombang uk. 2,40 x 1,08 (m) tebal 6 mm</v>
          </cell>
          <cell r="C62" t="str">
            <v>lembar</v>
          </cell>
          <cell r="D62">
            <v>144600</v>
          </cell>
          <cell r="E62">
            <v>144600</v>
          </cell>
        </row>
        <row r="63">
          <cell r="B63" t="str">
            <v>Atap asbes gelombang uk. 2,50 x 0,92 (m) tebal 5 mm</v>
          </cell>
          <cell r="C63" t="str">
            <v>lembar</v>
          </cell>
          <cell r="D63">
            <v>143000</v>
          </cell>
          <cell r="E63">
            <v>143000</v>
          </cell>
        </row>
        <row r="64">
          <cell r="B64" t="str">
            <v>Atap asbes gelombang uk. 2,70 x 1,05 (m) tebal 4 mm</v>
          </cell>
          <cell r="C64" t="str">
            <v>lembar</v>
          </cell>
          <cell r="D64">
            <v>116700</v>
          </cell>
          <cell r="E64">
            <v>116700</v>
          </cell>
        </row>
        <row r="65">
          <cell r="B65" t="str">
            <v>Atap asbes gelombang uk. 2,70 x 1,08 (m) tebal 6 mm</v>
          </cell>
          <cell r="C65" t="str">
            <v>lembar</v>
          </cell>
          <cell r="D65">
            <v>175000</v>
          </cell>
          <cell r="E65">
            <v>175000</v>
          </cell>
        </row>
        <row r="66">
          <cell r="B66" t="str">
            <v>Atap asbes gelombang uk. 3,00 x 1,05 (m) tebal 4 mm</v>
          </cell>
          <cell r="C66" t="str">
            <v>lembar</v>
          </cell>
          <cell r="D66">
            <v>126800</v>
          </cell>
          <cell r="E66">
            <v>126800</v>
          </cell>
        </row>
        <row r="67">
          <cell r="B67" t="str">
            <v>Atap asbes gelombang uk. 3,00 x 1,08 (m) tebal 6 mm</v>
          </cell>
          <cell r="C67" t="str">
            <v>lembar</v>
          </cell>
          <cell r="D67">
            <v>189700</v>
          </cell>
          <cell r="E67">
            <v>189700</v>
          </cell>
        </row>
        <row r="68">
          <cell r="B68" t="str">
            <v>Foldimg Gate ( tebal 2 mm )</v>
          </cell>
          <cell r="C68" t="str">
            <v>m2</v>
          </cell>
          <cell r="D68">
            <v>733471.2</v>
          </cell>
          <cell r="E68">
            <v>733471.2</v>
          </cell>
        </row>
        <row r="69">
          <cell r="B69" t="str">
            <v>Folding Gate ( tebal 3 mm )</v>
          </cell>
          <cell r="C69" t="str">
            <v>m2</v>
          </cell>
          <cell r="D69">
            <v>900169.2</v>
          </cell>
          <cell r="E69">
            <v>900169.2</v>
          </cell>
        </row>
        <row r="70">
          <cell r="B70" t="str">
            <v>Atap genteng (standar KIA)</v>
          </cell>
          <cell r="C70" t="str">
            <v>lembar</v>
          </cell>
          <cell r="D70">
            <v>14300</v>
          </cell>
          <cell r="E70">
            <v>14300</v>
          </cell>
        </row>
        <row r="71">
          <cell r="B71" t="str">
            <v>Atap genteng beton ( jenis press)</v>
          </cell>
          <cell r="C71" t="str">
            <v>buah</v>
          </cell>
          <cell r="D71">
            <v>4961.25</v>
          </cell>
          <cell r="E71">
            <v>4961.25</v>
          </cell>
        </row>
        <row r="72">
          <cell r="B72" t="str">
            <v>Atap genteng kodok</v>
          </cell>
          <cell r="C72" t="str">
            <v>buah</v>
          </cell>
          <cell r="D72">
            <v>3150</v>
          </cell>
          <cell r="E72">
            <v>3150</v>
          </cell>
        </row>
        <row r="73">
          <cell r="B73" t="str">
            <v>Atap genteng soka</v>
          </cell>
          <cell r="C73" t="str">
            <v>buah</v>
          </cell>
          <cell r="D73">
            <v>2646</v>
          </cell>
          <cell r="E73">
            <v>2646</v>
          </cell>
        </row>
        <row r="74">
          <cell r="B74" t="str">
            <v>Atap metal (biasa / polos)</v>
          </cell>
          <cell r="C74" t="str">
            <v>lembar</v>
          </cell>
          <cell r="D74">
            <v>88300</v>
          </cell>
          <cell r="E74">
            <v>88300</v>
          </cell>
        </row>
        <row r="75">
          <cell r="B75" t="str">
            <v>Atap metal batuan /tekstur</v>
          </cell>
          <cell r="C75" t="str">
            <v>lembar</v>
          </cell>
          <cell r="D75">
            <v>97100</v>
          </cell>
          <cell r="E75">
            <v>97100</v>
          </cell>
        </row>
        <row r="76">
          <cell r="B76" t="str">
            <v>Atap seng fibreglass tebal</v>
          </cell>
          <cell r="C76" t="str">
            <v>lembar</v>
          </cell>
          <cell r="D76">
            <v>158000</v>
          </cell>
          <cell r="E76">
            <v>158000</v>
          </cell>
        </row>
        <row r="77">
          <cell r="B77" t="str">
            <v>Atap seng gelombang bjls 20 uk. 0,914 x 1,829 (m)</v>
          </cell>
          <cell r="C77" t="str">
            <v>lembar</v>
          </cell>
          <cell r="D77">
            <v>74800</v>
          </cell>
          <cell r="E77">
            <v>74800</v>
          </cell>
        </row>
        <row r="78">
          <cell r="B78" t="str">
            <v>Air Release Valve dia 25 mm</v>
          </cell>
          <cell r="C78" t="str">
            <v>Unit</v>
          </cell>
          <cell r="D78">
            <v>2193411.7799999998</v>
          </cell>
          <cell r="E78">
            <v>2193411.7799999998</v>
          </cell>
        </row>
        <row r="79">
          <cell r="B79" t="str">
            <v>Air Release Valve dia 50 mm</v>
          </cell>
          <cell r="C79" t="str">
            <v>Unit</v>
          </cell>
          <cell r="D79">
            <v>2741848.2</v>
          </cell>
          <cell r="E79">
            <v>2741848.2</v>
          </cell>
        </row>
        <row r="80">
          <cell r="B80" t="str">
            <v>Gorong-gorong/Buis beton dia "100</v>
          </cell>
          <cell r="C80" t="str">
            <v>m'</v>
          </cell>
          <cell r="D80">
            <v>1134000</v>
          </cell>
          <cell r="E80">
            <v>1134000</v>
          </cell>
        </row>
        <row r="81">
          <cell r="B81" t="str">
            <v>Gorong-gorong/Buis beton dia "80</v>
          </cell>
          <cell r="C81" t="str">
            <v>m'</v>
          </cell>
          <cell r="D81">
            <v>913500</v>
          </cell>
          <cell r="E81">
            <v>913500</v>
          </cell>
        </row>
        <row r="82">
          <cell r="B82" t="str">
            <v>Gorong-gorong/Buis beton dia "60</v>
          </cell>
          <cell r="C82" t="str">
            <v>m'</v>
          </cell>
          <cell r="D82">
            <v>693000</v>
          </cell>
          <cell r="E82">
            <v>693000</v>
          </cell>
        </row>
        <row r="83">
          <cell r="B83" t="str">
            <v>Bak cuci piring (sink) stainless steel 1 lobang</v>
          </cell>
          <cell r="C83" t="str">
            <v>buah</v>
          </cell>
          <cell r="D83">
            <v>321200</v>
          </cell>
          <cell r="E83">
            <v>321200</v>
          </cell>
        </row>
        <row r="84">
          <cell r="B84" t="str">
            <v>Bak cuci piring (sink) stainless steel 2 lobang</v>
          </cell>
          <cell r="C84" t="str">
            <v>buah</v>
          </cell>
          <cell r="D84">
            <v>644200</v>
          </cell>
          <cell r="E84">
            <v>644200</v>
          </cell>
        </row>
        <row r="85">
          <cell r="B85" t="str">
            <v>Bak mandi fibreglass volume 0,15 m³</v>
          </cell>
          <cell r="C85" t="str">
            <v>buah</v>
          </cell>
          <cell r="D85">
            <v>317700</v>
          </cell>
          <cell r="E85">
            <v>317700</v>
          </cell>
        </row>
        <row r="86">
          <cell r="B86" t="str">
            <v>Bak mandi fibreglass volume 0,30 m³</v>
          </cell>
          <cell r="C86" t="str">
            <v>buah</v>
          </cell>
          <cell r="D86">
            <v>353000</v>
          </cell>
          <cell r="E86">
            <v>353000</v>
          </cell>
        </row>
        <row r="87">
          <cell r="B87" t="str">
            <v>Bak mandi fibreglass volume 1,00 m³</v>
          </cell>
          <cell r="C87" t="str">
            <v>buah</v>
          </cell>
          <cell r="D87">
            <v>494200</v>
          </cell>
          <cell r="E87">
            <v>494200</v>
          </cell>
        </row>
        <row r="88">
          <cell r="B88" t="str">
            <v>Bak mandi jenis bathtub</v>
          </cell>
          <cell r="C88" t="str">
            <v>buah</v>
          </cell>
          <cell r="D88">
            <v>1750000</v>
          </cell>
          <cell r="E88">
            <v>1750000</v>
          </cell>
        </row>
        <row r="89">
          <cell r="B89" t="str">
            <v>Bataco</v>
          </cell>
          <cell r="C89" t="str">
            <v>buah</v>
          </cell>
          <cell r="D89">
            <v>2115</v>
          </cell>
          <cell r="E89">
            <v>2115</v>
          </cell>
        </row>
        <row r="90">
          <cell r="B90" t="str">
            <v>Batacote</v>
          </cell>
          <cell r="C90" t="str">
            <v>m²</v>
          </cell>
          <cell r="D90">
            <v>61800</v>
          </cell>
          <cell r="E90">
            <v>61800</v>
          </cell>
        </row>
        <row r="91">
          <cell r="B91" t="str">
            <v>Batu alam tempel</v>
          </cell>
          <cell r="C91" t="str">
            <v>m²</v>
          </cell>
          <cell r="D91">
            <v>441300</v>
          </cell>
          <cell r="E91">
            <v>441300</v>
          </cell>
        </row>
        <row r="92">
          <cell r="B92" t="str">
            <v>Batu apung</v>
          </cell>
          <cell r="C92" t="str">
            <v>kg</v>
          </cell>
          <cell r="D92">
            <v>2600</v>
          </cell>
          <cell r="E92">
            <v>2600</v>
          </cell>
        </row>
        <row r="93">
          <cell r="B93" t="str">
            <v>Batu bata berongga uk. 5 x 11 x 24 (cm)</v>
          </cell>
          <cell r="C93" t="str">
            <v>buah</v>
          </cell>
          <cell r="D93">
            <v>2600</v>
          </cell>
          <cell r="E93">
            <v>2600</v>
          </cell>
        </row>
        <row r="94">
          <cell r="B94" t="str">
            <v>Batu bata merah (lokal)</v>
          </cell>
          <cell r="C94" t="str">
            <v>bh</v>
          </cell>
          <cell r="D94">
            <v>1800</v>
          </cell>
          <cell r="E94">
            <v>1800</v>
          </cell>
        </row>
        <row r="95">
          <cell r="B95" t="str">
            <v>Batu bata besar ( 8x8x20 ) cm</v>
          </cell>
          <cell r="C95" t="str">
            <v>bh</v>
          </cell>
          <cell r="D95">
            <v>1764</v>
          </cell>
          <cell r="E95">
            <v>1764</v>
          </cell>
        </row>
        <row r="96">
          <cell r="B96" t="str">
            <v>Batu bata kecil ( 5x8x20 ) cm</v>
          </cell>
          <cell r="C96" t="str">
            <v>bh</v>
          </cell>
          <cell r="D96">
            <v>1512</v>
          </cell>
          <cell r="E96">
            <v>1512</v>
          </cell>
        </row>
        <row r="97">
          <cell r="B97" t="str">
            <v>Batu belah 10 - 15 (cm)</v>
          </cell>
          <cell r="C97" t="str">
            <v>m³</v>
          </cell>
          <cell r="D97">
            <v>511000</v>
          </cell>
          <cell r="E97">
            <v>511000</v>
          </cell>
        </row>
        <row r="98">
          <cell r="B98" t="str">
            <v>Batu belah 15 - 20 (cm)</v>
          </cell>
          <cell r="C98" t="str">
            <v>m³</v>
          </cell>
          <cell r="D98">
            <v>401500</v>
          </cell>
          <cell r="E98">
            <v>401500</v>
          </cell>
        </row>
        <row r="99">
          <cell r="B99" t="str">
            <v>Batu gunung (quarry)</v>
          </cell>
          <cell r="C99" t="str">
            <v>m³</v>
          </cell>
          <cell r="D99">
            <v>401500</v>
          </cell>
          <cell r="E99">
            <v>401500</v>
          </cell>
        </row>
        <row r="100">
          <cell r="B100" t="str">
            <v>Batu kali bulat</v>
          </cell>
          <cell r="C100" t="str">
            <v>m³</v>
          </cell>
          <cell r="D100">
            <v>100600</v>
          </cell>
          <cell r="E100">
            <v>100600</v>
          </cell>
        </row>
        <row r="101">
          <cell r="B101" t="str">
            <v>Batu kapur</v>
          </cell>
          <cell r="C101" t="str">
            <v>m³</v>
          </cell>
          <cell r="D101">
            <v>97100</v>
          </cell>
          <cell r="E101">
            <v>97100</v>
          </cell>
        </row>
        <row r="102">
          <cell r="B102" t="str">
            <v>Batu kerikil ayak / batu saring / kerai</v>
          </cell>
          <cell r="C102" t="str">
            <v>m³</v>
          </cell>
          <cell r="D102">
            <v>207400</v>
          </cell>
          <cell r="E102">
            <v>207400</v>
          </cell>
        </row>
        <row r="103">
          <cell r="B103" t="str">
            <v>Batu kerikil dari galian bukit</v>
          </cell>
          <cell r="C103" t="str">
            <v>m³</v>
          </cell>
          <cell r="D103">
            <v>176500</v>
          </cell>
          <cell r="E103">
            <v>176500</v>
          </cell>
        </row>
        <row r="104">
          <cell r="B104" t="str">
            <v>Batu kerikil sungai (dengan pasir)</v>
          </cell>
          <cell r="C104" t="str">
            <v>m³</v>
          </cell>
          <cell r="D104">
            <v>203000</v>
          </cell>
          <cell r="E104">
            <v>203000</v>
          </cell>
        </row>
        <row r="105">
          <cell r="B105" t="str">
            <v>Batu paras</v>
          </cell>
          <cell r="C105" t="str">
            <v>m²</v>
          </cell>
          <cell r="D105">
            <v>441300</v>
          </cell>
          <cell r="E105">
            <v>441300</v>
          </cell>
        </row>
        <row r="106">
          <cell r="B106" t="str">
            <v>Batu kacang</v>
          </cell>
          <cell r="C106" t="str">
            <v>m3</v>
          </cell>
          <cell r="D106">
            <v>416745</v>
          </cell>
          <cell r="E106">
            <v>416745</v>
          </cell>
        </row>
        <row r="107">
          <cell r="B107" t="str">
            <v>Batu pecah 0,5 - 1 (cm)</v>
          </cell>
          <cell r="C107" t="str">
            <v>m³</v>
          </cell>
          <cell r="D107">
            <v>374125</v>
          </cell>
          <cell r="E107">
            <v>374125</v>
          </cell>
        </row>
        <row r="108">
          <cell r="B108" t="str">
            <v>Batu pecah 1 - 2 (cm)</v>
          </cell>
          <cell r="C108" t="str">
            <v>m³</v>
          </cell>
          <cell r="D108">
            <v>446516.67</v>
          </cell>
          <cell r="E108">
            <v>446516.67</v>
          </cell>
        </row>
        <row r="109">
          <cell r="B109" t="str">
            <v>Batu pecah 2 - 3 (cm)</v>
          </cell>
          <cell r="C109" t="str">
            <v>m³</v>
          </cell>
          <cell r="D109">
            <v>455520</v>
          </cell>
          <cell r="E109">
            <v>455520</v>
          </cell>
        </row>
        <row r="110">
          <cell r="B110" t="str">
            <v>Batu pecah 3 - 5 (cm)</v>
          </cell>
          <cell r="C110" t="str">
            <v>m³</v>
          </cell>
          <cell r="D110">
            <v>455520</v>
          </cell>
          <cell r="E110">
            <v>455520</v>
          </cell>
        </row>
        <row r="111">
          <cell r="B111" t="str">
            <v>Batu pecah 5 - 7 (cm)</v>
          </cell>
          <cell r="C111" t="str">
            <v>m³</v>
          </cell>
          <cell r="D111">
            <v>601397.36</v>
          </cell>
          <cell r="E111">
            <v>601397.36</v>
          </cell>
        </row>
        <row r="112">
          <cell r="B112" t="str">
            <v>Batu pecah 7 - 10 (cm)</v>
          </cell>
          <cell r="C112" t="str">
            <v>m³</v>
          </cell>
          <cell r="D112">
            <v>291200</v>
          </cell>
          <cell r="E112">
            <v>291200</v>
          </cell>
        </row>
        <row r="113">
          <cell r="B113" t="str">
            <v>Batu teraso</v>
          </cell>
          <cell r="C113" t="str">
            <v>m³</v>
          </cell>
          <cell r="D113">
            <v>185300</v>
          </cell>
          <cell r="E113">
            <v>185300</v>
          </cell>
        </row>
        <row r="114">
          <cell r="B114" t="str">
            <v>Baut / mur baja</v>
          </cell>
          <cell r="C114" t="str">
            <v>buah</v>
          </cell>
          <cell r="D114">
            <v>10600</v>
          </cell>
          <cell r="E114">
            <v>10600</v>
          </cell>
        </row>
        <row r="115">
          <cell r="B115" t="str">
            <v>Baut klem</v>
          </cell>
          <cell r="C115" t="str">
            <v>buah</v>
          </cell>
          <cell r="D115">
            <v>7900</v>
          </cell>
          <cell r="E115">
            <v>7900</v>
          </cell>
        </row>
        <row r="116">
          <cell r="B116" t="str">
            <v>Bensin premium</v>
          </cell>
          <cell r="C116" t="str">
            <v>liter</v>
          </cell>
          <cell r="D116">
            <v>5670</v>
          </cell>
          <cell r="E116">
            <v>5670</v>
          </cell>
        </row>
        <row r="117">
          <cell r="B117" t="str">
            <v>Besi baja profil IWF</v>
          </cell>
          <cell r="C117" t="str">
            <v>kg</v>
          </cell>
          <cell r="D117">
            <v>44100</v>
          </cell>
          <cell r="E117">
            <v>44100</v>
          </cell>
        </row>
        <row r="118">
          <cell r="B118" t="str">
            <v>Besi baut kuda-kuda</v>
          </cell>
          <cell r="C118" t="str">
            <v>kg</v>
          </cell>
          <cell r="D118">
            <v>19800</v>
          </cell>
          <cell r="E118">
            <v>19800</v>
          </cell>
        </row>
        <row r="119">
          <cell r="B119" t="str">
            <v>Besi beton</v>
          </cell>
          <cell r="C119" t="str">
            <v>kg</v>
          </cell>
          <cell r="D119">
            <v>19656</v>
          </cell>
          <cell r="E119">
            <v>19656</v>
          </cell>
        </row>
        <row r="120">
          <cell r="B120" t="str">
            <v>Besi jaring kawat baja</v>
          </cell>
          <cell r="C120" t="str">
            <v>kg</v>
          </cell>
          <cell r="D120">
            <v>19400</v>
          </cell>
          <cell r="E120">
            <v>19400</v>
          </cell>
        </row>
        <row r="121">
          <cell r="B121" t="str">
            <v>Besi prestressed polos</v>
          </cell>
          <cell r="C121" t="str">
            <v>kg</v>
          </cell>
          <cell r="D121">
            <v>22900</v>
          </cell>
          <cell r="E121">
            <v>22900</v>
          </cell>
        </row>
        <row r="122">
          <cell r="B122" t="str">
            <v>Besi siku</v>
          </cell>
          <cell r="C122" t="str">
            <v>6 m'</v>
          </cell>
          <cell r="D122">
            <v>315945</v>
          </cell>
          <cell r="E122">
            <v>315945</v>
          </cell>
        </row>
        <row r="123">
          <cell r="B123" t="str">
            <v>Besi strip</v>
          </cell>
          <cell r="C123" t="str">
            <v>kg</v>
          </cell>
          <cell r="D123">
            <v>53550</v>
          </cell>
          <cell r="E123">
            <v>53550</v>
          </cell>
        </row>
        <row r="124">
          <cell r="B124" t="str">
            <v>Kawat</v>
          </cell>
          <cell r="C124" t="str">
            <v>kg</v>
          </cell>
          <cell r="D124">
            <v>23730</v>
          </cell>
          <cell r="E124">
            <v>23730</v>
          </cell>
        </row>
        <row r="125">
          <cell r="B125" t="str">
            <v>Plat kembang 3 mm</v>
          </cell>
          <cell r="C125" t="str">
            <v>m2</v>
          </cell>
          <cell r="D125">
            <v>200037.6</v>
          </cell>
          <cell r="E125">
            <v>200037.6</v>
          </cell>
        </row>
        <row r="126">
          <cell r="B126" t="str">
            <v>Besi strip 2 x 3</v>
          </cell>
          <cell r="C126" t="str">
            <v>m'</v>
          </cell>
          <cell r="D126">
            <v>29100</v>
          </cell>
          <cell r="E126">
            <v>29100</v>
          </cell>
        </row>
        <row r="127">
          <cell r="B127" t="str">
            <v>Bend C1 dia 200 mm x 45 ff</v>
          </cell>
          <cell r="C127" t="str">
            <v>m'</v>
          </cell>
          <cell r="D127">
            <v>651622.86</v>
          </cell>
          <cell r="E127">
            <v>651622.86</v>
          </cell>
        </row>
        <row r="128">
          <cell r="B128" t="str">
            <v>Bend C1 dia 200 mm x 90 ff</v>
          </cell>
          <cell r="C128" t="str">
            <v>m'</v>
          </cell>
          <cell r="D128">
            <v>1645142.94</v>
          </cell>
          <cell r="E128">
            <v>1645142.94</v>
          </cell>
        </row>
        <row r="129">
          <cell r="B129" t="str">
            <v>Bend PVC 100 x 90</v>
          </cell>
          <cell r="C129" t="str">
            <v>Unit</v>
          </cell>
          <cell r="D129">
            <v>626618.16</v>
          </cell>
          <cell r="E129">
            <v>626618.16</v>
          </cell>
        </row>
        <row r="130">
          <cell r="B130" t="str">
            <v>Bend PVC 150 x 90</v>
          </cell>
          <cell r="C130" t="str">
            <v>Unit</v>
          </cell>
          <cell r="D130">
            <v>822487.68</v>
          </cell>
          <cell r="E130">
            <v>822487.68</v>
          </cell>
        </row>
        <row r="131">
          <cell r="B131" t="str">
            <v>Bend PVC 50 x 90</v>
          </cell>
          <cell r="C131" t="str">
            <v>Unit</v>
          </cell>
          <cell r="D131">
            <v>182701.26</v>
          </cell>
          <cell r="E131">
            <v>182701.26</v>
          </cell>
        </row>
        <row r="132">
          <cell r="B132" t="str">
            <v>Bend PVC 80 x 90</v>
          </cell>
          <cell r="C132" t="str">
            <v>Unit</v>
          </cell>
          <cell r="D132">
            <v>274051.26</v>
          </cell>
          <cell r="E132">
            <v>274051.26</v>
          </cell>
        </row>
        <row r="133">
          <cell r="B133" t="str">
            <v>Besi teralis ø 6 mm - 10 mm</v>
          </cell>
          <cell r="C133" t="str">
            <v>m'</v>
          </cell>
          <cell r="D133">
            <v>29100</v>
          </cell>
          <cell r="E133">
            <v>29100</v>
          </cell>
        </row>
        <row r="134">
          <cell r="B134" t="str">
            <v>Bilik bambu kering, uk. 1,5 x 4 (m)</v>
          </cell>
          <cell r="C134" t="str">
            <v>buah</v>
          </cell>
          <cell r="D134">
            <v>61800</v>
          </cell>
          <cell r="E134">
            <v>61800</v>
          </cell>
        </row>
        <row r="135">
          <cell r="B135" t="str">
            <v>Bliksem spit penangkal petir</v>
          </cell>
          <cell r="C135" t="str">
            <v>buah</v>
          </cell>
          <cell r="D135">
            <v>101500</v>
          </cell>
          <cell r="E135">
            <v>101500</v>
          </cell>
        </row>
        <row r="136">
          <cell r="B136" t="str">
            <v xml:space="preserve">Bondbeam uk. 40 x 20 x 20 (cm) </v>
          </cell>
          <cell r="C136" t="str">
            <v>buah</v>
          </cell>
          <cell r="D136">
            <v>64400</v>
          </cell>
          <cell r="E136">
            <v>64400</v>
          </cell>
        </row>
        <row r="137">
          <cell r="B137" t="str">
            <v>Box sekering, 1 goup / phase</v>
          </cell>
          <cell r="C137" t="str">
            <v>buah</v>
          </cell>
          <cell r="D137">
            <v>59800</v>
          </cell>
          <cell r="E137">
            <v>59800</v>
          </cell>
        </row>
        <row r="138">
          <cell r="B138" t="str">
            <v>Box sekering, 2 goup / phase</v>
          </cell>
          <cell r="C138" t="str">
            <v>buah</v>
          </cell>
          <cell r="D138">
            <v>72300</v>
          </cell>
          <cell r="E138">
            <v>72300</v>
          </cell>
        </row>
        <row r="139">
          <cell r="B139" t="str">
            <v>Box sekering, 3 goup / phase</v>
          </cell>
          <cell r="C139" t="str">
            <v>buah</v>
          </cell>
          <cell r="D139">
            <v>82300</v>
          </cell>
          <cell r="E139">
            <v>82300</v>
          </cell>
        </row>
        <row r="140">
          <cell r="B140" t="str">
            <v>Box sekering</v>
          </cell>
          <cell r="C140" t="str">
            <v>set</v>
          </cell>
          <cell r="D140">
            <v>56700</v>
          </cell>
          <cell r="E140">
            <v>56700</v>
          </cell>
        </row>
        <row r="141">
          <cell r="B141" t="str">
            <v>Box Water Meter</v>
          </cell>
          <cell r="C141" t="str">
            <v>bh</v>
          </cell>
          <cell r="D141">
            <v>44100</v>
          </cell>
          <cell r="E141">
            <v>44100</v>
          </cell>
        </row>
        <row r="142">
          <cell r="B142" t="str">
            <v>Bola lam pijar</v>
          </cell>
          <cell r="C142" t="str">
            <v>bh</v>
          </cell>
          <cell r="D142">
            <v>6300</v>
          </cell>
          <cell r="E142">
            <v>6300</v>
          </cell>
        </row>
        <row r="143">
          <cell r="B143" t="str">
            <v>Bola lampu TL.20 W</v>
          </cell>
          <cell r="C143" t="str">
            <v>bh</v>
          </cell>
          <cell r="D143">
            <v>28350</v>
          </cell>
          <cell r="E143">
            <v>28350</v>
          </cell>
        </row>
        <row r="144">
          <cell r="B144" t="str">
            <v xml:space="preserve">Bubungan atap (nok) alumunium standar 40 cm, swg. 22 </v>
          </cell>
          <cell r="C144" t="str">
            <v>m²</v>
          </cell>
          <cell r="D144">
            <v>85600</v>
          </cell>
          <cell r="E144">
            <v>85600</v>
          </cell>
        </row>
        <row r="145">
          <cell r="B145" t="str">
            <v xml:space="preserve">Bubungan atap (nok) asbes sepasang </v>
          </cell>
          <cell r="C145" t="str">
            <v>lembar</v>
          </cell>
          <cell r="D145">
            <v>61800</v>
          </cell>
          <cell r="E145">
            <v>61800</v>
          </cell>
        </row>
        <row r="146">
          <cell r="B146" t="str">
            <v>Bubungan atap (nok) genteng (standar KIA)</v>
          </cell>
          <cell r="C146" t="str">
            <v>buah</v>
          </cell>
          <cell r="D146">
            <v>43200</v>
          </cell>
          <cell r="E146">
            <v>43200</v>
          </cell>
        </row>
        <row r="147">
          <cell r="B147" t="str">
            <v>Bubungan atap (nok) genteng beton</v>
          </cell>
          <cell r="C147" t="str">
            <v>buah</v>
          </cell>
          <cell r="D147">
            <v>5433.75</v>
          </cell>
          <cell r="E147">
            <v>5433.75</v>
          </cell>
        </row>
        <row r="148">
          <cell r="B148" t="str">
            <v>Bubungan atap (nok) genteng kodok</v>
          </cell>
          <cell r="C148" t="str">
            <v>buah</v>
          </cell>
          <cell r="D148">
            <v>7200</v>
          </cell>
          <cell r="E148">
            <v>7200</v>
          </cell>
        </row>
        <row r="149">
          <cell r="B149" t="str">
            <v>Bubungan atap (nok) genteng soka</v>
          </cell>
          <cell r="C149" t="str">
            <v>buah</v>
          </cell>
          <cell r="D149">
            <v>4680</v>
          </cell>
          <cell r="E149">
            <v>4680</v>
          </cell>
        </row>
        <row r="150">
          <cell r="B150" t="str">
            <v>Bubungan atap (nok) metal (biasa / polos)</v>
          </cell>
          <cell r="C150" t="str">
            <v>buah</v>
          </cell>
          <cell r="D150">
            <v>37100</v>
          </cell>
          <cell r="E150">
            <v>37100</v>
          </cell>
        </row>
        <row r="151">
          <cell r="B151" t="str">
            <v>Bubungan atap (nok) metal (standar Rainbow)</v>
          </cell>
          <cell r="C151" t="str">
            <v>m'</v>
          </cell>
          <cell r="D151">
            <v>69700</v>
          </cell>
          <cell r="E151">
            <v>69700</v>
          </cell>
        </row>
        <row r="152">
          <cell r="B152" t="str">
            <v>Buis beton bertulang ø 45 cm - 75 cm</v>
          </cell>
          <cell r="C152" t="str">
            <v>buah</v>
          </cell>
          <cell r="D152">
            <v>494200</v>
          </cell>
          <cell r="E152">
            <v>494200</v>
          </cell>
        </row>
        <row r="153">
          <cell r="B153" t="str">
            <v>Buis beton bertulang ø 75 cm - 120 cm</v>
          </cell>
          <cell r="C153" t="str">
            <v>buah</v>
          </cell>
          <cell r="D153">
            <v>1147300</v>
          </cell>
          <cell r="E153">
            <v>1147300</v>
          </cell>
        </row>
        <row r="154">
          <cell r="B154" t="str">
            <v>Buis beton tak bertulang ø 100 cm</v>
          </cell>
          <cell r="C154" t="str">
            <v>buah</v>
          </cell>
          <cell r="D154">
            <v>460700</v>
          </cell>
          <cell r="E154">
            <v>460700</v>
          </cell>
        </row>
        <row r="155">
          <cell r="B155" t="str">
            <v>Buis beton tak bertulang ø 60 cm</v>
          </cell>
          <cell r="C155" t="str">
            <v>buah</v>
          </cell>
          <cell r="D155">
            <v>105000</v>
          </cell>
          <cell r="E155">
            <v>105000</v>
          </cell>
        </row>
        <row r="156">
          <cell r="B156" t="str">
            <v>Buis beton tak bertulang ø 80 cm</v>
          </cell>
          <cell r="C156" t="str">
            <v>buah</v>
          </cell>
          <cell r="D156">
            <v>460700</v>
          </cell>
          <cell r="E156">
            <v>460700</v>
          </cell>
        </row>
        <row r="157">
          <cell r="B157" t="str">
            <v>Cat besi merk "GENDANG"</v>
          </cell>
          <cell r="C157" t="str">
            <v>kg</v>
          </cell>
          <cell r="D157">
            <v>22176</v>
          </cell>
          <cell r="E157">
            <v>22176</v>
          </cell>
        </row>
        <row r="158">
          <cell r="B158" t="str">
            <v>Cat besi merk "PLATONE"</v>
          </cell>
          <cell r="C158" t="str">
            <v>kg</v>
          </cell>
          <cell r="D158">
            <v>50793.75</v>
          </cell>
          <cell r="E158">
            <v>50793.75</v>
          </cell>
        </row>
        <row r="159">
          <cell r="B159" t="str">
            <v>Cat dasar</v>
          </cell>
          <cell r="C159" t="str">
            <v>kg</v>
          </cell>
          <cell r="D159">
            <v>32700</v>
          </cell>
          <cell r="E159">
            <v>32700</v>
          </cell>
        </row>
        <row r="160">
          <cell r="B160" t="str">
            <v>Cat genteng</v>
          </cell>
          <cell r="C160" t="str">
            <v>kg</v>
          </cell>
          <cell r="D160">
            <v>30693.599999999999</v>
          </cell>
          <cell r="E160">
            <v>30693.599999999999</v>
          </cell>
        </row>
        <row r="161">
          <cell r="B161" t="str">
            <v>Cat jalan</v>
          </cell>
          <cell r="C161" t="str">
            <v>kg</v>
          </cell>
          <cell r="D161">
            <v>63800</v>
          </cell>
          <cell r="E161">
            <v>63800</v>
          </cell>
        </row>
        <row r="162">
          <cell r="B162" t="str">
            <v>Cat jembatan</v>
          </cell>
          <cell r="C162" t="str">
            <v>kg</v>
          </cell>
          <cell r="D162">
            <v>64400</v>
          </cell>
          <cell r="E162">
            <v>64400</v>
          </cell>
        </row>
        <row r="163">
          <cell r="B163" t="str">
            <v>Cat menie</v>
          </cell>
          <cell r="C163" t="str">
            <v>kg</v>
          </cell>
          <cell r="D163">
            <v>18405</v>
          </cell>
          <cell r="E163">
            <v>18405</v>
          </cell>
        </row>
        <row r="164">
          <cell r="B164" t="str">
            <v>Cat kayu</v>
          </cell>
          <cell r="C164" t="str">
            <v>kg</v>
          </cell>
          <cell r="D164">
            <v>42840</v>
          </cell>
          <cell r="E164">
            <v>42840</v>
          </cell>
        </row>
        <row r="165">
          <cell r="B165" t="str">
            <v>Cat minyak</v>
          </cell>
          <cell r="C165" t="str">
            <v>kg</v>
          </cell>
          <cell r="D165">
            <v>59062.5</v>
          </cell>
          <cell r="E165">
            <v>59062.5</v>
          </cell>
        </row>
        <row r="166">
          <cell r="B166" t="str">
            <v>Cat tembok</v>
          </cell>
          <cell r="C166" t="str">
            <v>kg</v>
          </cell>
          <cell r="D166">
            <v>24680</v>
          </cell>
          <cell r="E166">
            <v>24680</v>
          </cell>
        </row>
        <row r="167">
          <cell r="B167" t="str">
            <v>Cat tembok merk "GALATEK"</v>
          </cell>
          <cell r="C167" t="str">
            <v>kg</v>
          </cell>
          <cell r="D167">
            <v>9648.9500000000007</v>
          </cell>
          <cell r="E167">
            <v>9648.9500000000007</v>
          </cell>
        </row>
        <row r="168">
          <cell r="B168" t="str">
            <v>Cat tembok merk "KENLUX"</v>
          </cell>
          <cell r="C168" t="str">
            <v>kg</v>
          </cell>
          <cell r="D168">
            <v>16443</v>
          </cell>
          <cell r="E168">
            <v>16443</v>
          </cell>
        </row>
        <row r="169">
          <cell r="B169" t="str">
            <v>Cat tembok merk "PLATON"</v>
          </cell>
          <cell r="C169" t="str">
            <v>kg</v>
          </cell>
          <cell r="D169">
            <v>15172.5</v>
          </cell>
          <cell r="E169">
            <v>15172.5</v>
          </cell>
        </row>
        <row r="170">
          <cell r="B170" t="str">
            <v>Cat tembok merk "SUPERKEN"</v>
          </cell>
          <cell r="C170" t="str">
            <v>kg</v>
          </cell>
          <cell r="D170">
            <v>12810</v>
          </cell>
          <cell r="E170">
            <v>12810</v>
          </cell>
        </row>
        <row r="171">
          <cell r="B171" t="str">
            <v>Cat vernis</v>
          </cell>
          <cell r="C171" t="str">
            <v>kg</v>
          </cell>
          <cell r="D171">
            <v>19500</v>
          </cell>
          <cell r="E171">
            <v>19500</v>
          </cell>
        </row>
        <row r="172">
          <cell r="B172" t="str">
            <v>Closed duduk (lokal)</v>
          </cell>
          <cell r="C172" t="str">
            <v>buah</v>
          </cell>
          <cell r="D172">
            <v>2047400</v>
          </cell>
          <cell r="E172">
            <v>2047400</v>
          </cell>
        </row>
        <row r="173">
          <cell r="B173" t="str">
            <v>Closed jongkok keramik</v>
          </cell>
          <cell r="C173" t="str">
            <v>buah</v>
          </cell>
          <cell r="D173">
            <v>181400</v>
          </cell>
          <cell r="E173">
            <v>181400</v>
          </cell>
        </row>
        <row r="174">
          <cell r="B174" t="str">
            <v>Closed jongkok porcelaint (lokal)</v>
          </cell>
          <cell r="C174" t="str">
            <v>buah</v>
          </cell>
          <cell r="D174">
            <v>200300</v>
          </cell>
          <cell r="E174">
            <v>200300</v>
          </cell>
        </row>
        <row r="175">
          <cell r="B175" t="str">
            <v>Closed jongkok terasso</v>
          </cell>
          <cell r="C175" t="str">
            <v>buah</v>
          </cell>
          <cell r="D175">
            <v>238300</v>
          </cell>
          <cell r="E175">
            <v>238300</v>
          </cell>
        </row>
        <row r="176">
          <cell r="B176" t="str">
            <v>Closed jongkok keramik leher lurus</v>
          </cell>
          <cell r="C176" t="str">
            <v>bh</v>
          </cell>
          <cell r="D176">
            <v>441000</v>
          </cell>
          <cell r="E176">
            <v>441000</v>
          </cell>
        </row>
        <row r="177">
          <cell r="B177" t="str">
            <v>Closed jongkok keramik leher bengkok</v>
          </cell>
          <cell r="C177" t="str">
            <v>bh</v>
          </cell>
          <cell r="D177">
            <v>143850</v>
          </cell>
          <cell r="E177">
            <v>143850</v>
          </cell>
        </row>
        <row r="178">
          <cell r="B178" t="str">
            <v>Closed duduk keramik uk. Besar</v>
          </cell>
          <cell r="C178" t="str">
            <v>bh</v>
          </cell>
          <cell r="D178">
            <v>1554000</v>
          </cell>
          <cell r="E178">
            <v>1554000</v>
          </cell>
        </row>
        <row r="179">
          <cell r="B179" t="str">
            <v>Closed duduk keramik uk. Kecil</v>
          </cell>
          <cell r="C179" t="str">
            <v>bh</v>
          </cell>
          <cell r="D179">
            <v>383250</v>
          </cell>
          <cell r="E179">
            <v>383250</v>
          </cell>
        </row>
        <row r="180">
          <cell r="B180" t="str">
            <v>Clamp saddle C1 dia 50 x 13 mm</v>
          </cell>
          <cell r="C180" t="str">
            <v>unit</v>
          </cell>
          <cell r="D180">
            <v>91183.679999999993</v>
          </cell>
          <cell r="E180">
            <v>91183.679999999993</v>
          </cell>
        </row>
        <row r="181">
          <cell r="B181" t="str">
            <v>Clamp saddle C1 dia 80 x 13 mm</v>
          </cell>
          <cell r="C181" t="str">
            <v>unit</v>
          </cell>
          <cell r="D181">
            <v>104519.52</v>
          </cell>
          <cell r="E181">
            <v>104519.52</v>
          </cell>
        </row>
        <row r="182">
          <cell r="B182" t="str">
            <v>Clamp saddle PVC dia 50 x 13 mm</v>
          </cell>
          <cell r="C182" t="str">
            <v>unit</v>
          </cell>
          <cell r="D182">
            <v>173365.92</v>
          </cell>
          <cell r="E182">
            <v>173365.92</v>
          </cell>
        </row>
        <row r="183">
          <cell r="B183" t="str">
            <v>Clamp saddle PVC dia 80 x 13 mm</v>
          </cell>
          <cell r="C183" t="str">
            <v>unit</v>
          </cell>
          <cell r="D183">
            <v>207539.64</v>
          </cell>
          <cell r="E183">
            <v>207539.64</v>
          </cell>
        </row>
        <row r="184">
          <cell r="B184" t="str">
            <v>Conblock (C.B. 10)</v>
          </cell>
          <cell r="C184" t="str">
            <v>buah</v>
          </cell>
          <cell r="D184">
            <v>69700</v>
          </cell>
          <cell r="E184">
            <v>69700</v>
          </cell>
        </row>
        <row r="185">
          <cell r="B185" t="str">
            <v>Conblock (C.B. 15)</v>
          </cell>
          <cell r="C185" t="str">
            <v>buah</v>
          </cell>
          <cell r="D185">
            <v>57400</v>
          </cell>
          <cell r="E185">
            <v>57400</v>
          </cell>
        </row>
        <row r="186">
          <cell r="B186" t="str">
            <v>Conblock tebal 6 cm</v>
          </cell>
          <cell r="C186" t="str">
            <v>m²</v>
          </cell>
          <cell r="D186">
            <v>2016</v>
          </cell>
          <cell r="E186">
            <v>2016</v>
          </cell>
        </row>
        <row r="187">
          <cell r="B187" t="str">
            <v>Conblock tebal 8 cm</v>
          </cell>
          <cell r="C187" t="str">
            <v>m²</v>
          </cell>
          <cell r="D187">
            <v>2268</v>
          </cell>
          <cell r="E187">
            <v>2268</v>
          </cell>
        </row>
        <row r="188">
          <cell r="B188" t="str">
            <v>Dempul</v>
          </cell>
          <cell r="C188" t="str">
            <v>kg</v>
          </cell>
          <cell r="D188">
            <v>34177.5</v>
          </cell>
          <cell r="E188">
            <v>34177.5</v>
          </cell>
        </row>
        <row r="189">
          <cell r="B189" t="str">
            <v xml:space="preserve">Kapur tembok </v>
          </cell>
          <cell r="C189" t="str">
            <v>kg</v>
          </cell>
          <cell r="D189">
            <v>6510</v>
          </cell>
          <cell r="E189">
            <v>6510</v>
          </cell>
        </row>
        <row r="190">
          <cell r="B190" t="str">
            <v>Minyak cat</v>
          </cell>
          <cell r="C190" t="str">
            <v>Ltr</v>
          </cell>
          <cell r="D190">
            <v>6414.55</v>
          </cell>
          <cell r="E190">
            <v>6414.55</v>
          </cell>
        </row>
        <row r="191">
          <cell r="B191" t="str">
            <v>Plamur tembok</v>
          </cell>
          <cell r="C191" t="str">
            <v>kg</v>
          </cell>
          <cell r="D191">
            <v>11263</v>
          </cell>
          <cell r="E191">
            <v>11263</v>
          </cell>
        </row>
        <row r="192">
          <cell r="B192" t="str">
            <v>Dempul Gypsum</v>
          </cell>
          <cell r="C192" t="str">
            <v>kg</v>
          </cell>
          <cell r="D192">
            <v>5040</v>
          </cell>
          <cell r="E192">
            <v>5040</v>
          </cell>
        </row>
        <row r="193">
          <cell r="B193" t="str">
            <v>Dempul jadi</v>
          </cell>
          <cell r="C193" t="str">
            <v>kg</v>
          </cell>
          <cell r="D193">
            <v>146500</v>
          </cell>
          <cell r="E193">
            <v>146500</v>
          </cell>
        </row>
        <row r="194">
          <cell r="B194" t="str">
            <v>Dina bolt / ramset</v>
          </cell>
          <cell r="C194" t="str">
            <v>buah</v>
          </cell>
          <cell r="D194">
            <v>2200</v>
          </cell>
          <cell r="E194">
            <v>2200</v>
          </cell>
        </row>
        <row r="195">
          <cell r="B195" t="str">
            <v>Door stop</v>
          </cell>
          <cell r="C195" t="str">
            <v>buah</v>
          </cell>
          <cell r="D195">
            <v>88300</v>
          </cell>
          <cell r="E195">
            <v>88300</v>
          </cell>
        </row>
        <row r="196">
          <cell r="B196" t="str">
            <v>Dop PVC ø 50 mm</v>
          </cell>
          <cell r="C196" t="str">
            <v>unit</v>
          </cell>
          <cell r="D196">
            <v>41674.5</v>
          </cell>
          <cell r="E196">
            <v>41674.5</v>
          </cell>
        </row>
        <row r="197">
          <cell r="B197" t="str">
            <v>Dop Gip dia 13 mm</v>
          </cell>
          <cell r="C197" t="str">
            <v>unit</v>
          </cell>
          <cell r="D197">
            <v>5000.9399999999996</v>
          </cell>
          <cell r="E197">
            <v>5000.9399999999996</v>
          </cell>
        </row>
        <row r="198">
          <cell r="B198" t="str">
            <v>Dop PVC dia 100 mm</v>
          </cell>
          <cell r="C198" t="str">
            <v>unit</v>
          </cell>
          <cell r="D198">
            <v>127857.24</v>
          </cell>
          <cell r="E198">
            <v>127857.24</v>
          </cell>
        </row>
        <row r="199">
          <cell r="B199" t="str">
            <v>Dop PVC dia 80 mm</v>
          </cell>
          <cell r="C199" t="str">
            <v>unit</v>
          </cell>
          <cell r="D199">
            <v>74347.56</v>
          </cell>
          <cell r="E199">
            <v>74347.56</v>
          </cell>
        </row>
        <row r="200">
          <cell r="B200" t="str">
            <v>Double Nipple Gip dia 13 mm</v>
          </cell>
          <cell r="C200" t="str">
            <v>bh</v>
          </cell>
          <cell r="D200">
            <v>25200</v>
          </cell>
          <cell r="E200">
            <v>25200</v>
          </cell>
        </row>
        <row r="201">
          <cell r="B201" t="str">
            <v>Daun pintu fiber wc polos</v>
          </cell>
          <cell r="C201" t="str">
            <v>bh</v>
          </cell>
          <cell r="D201">
            <v>441000</v>
          </cell>
          <cell r="E201">
            <v>441000</v>
          </cell>
        </row>
        <row r="202">
          <cell r="B202" t="str">
            <v>Daun pintu fiber wc corak</v>
          </cell>
          <cell r="C202" t="str">
            <v>bh</v>
          </cell>
          <cell r="D202">
            <v>630000</v>
          </cell>
          <cell r="E202">
            <v>630000</v>
          </cell>
        </row>
        <row r="203">
          <cell r="B203" t="str">
            <v>Elastromer bearing pad</v>
          </cell>
          <cell r="C203" t="str">
            <v>-</v>
          </cell>
          <cell r="D203">
            <v>1420800</v>
          </cell>
          <cell r="E203">
            <v>1420800</v>
          </cell>
        </row>
        <row r="204">
          <cell r="B204" t="str">
            <v>Elektroda penghantar bumi untuk penangkal petir</v>
          </cell>
          <cell r="C204" t="str">
            <v>buah</v>
          </cell>
          <cell r="D204">
            <v>325500</v>
          </cell>
          <cell r="E204">
            <v>325500</v>
          </cell>
        </row>
        <row r="205">
          <cell r="B205" t="str">
            <v xml:space="preserve">Engsel pintu / jendela 3" </v>
          </cell>
          <cell r="C205" t="str">
            <v>buah</v>
          </cell>
          <cell r="D205">
            <v>15000</v>
          </cell>
          <cell r="E205">
            <v>15000</v>
          </cell>
        </row>
        <row r="206">
          <cell r="B206" t="str">
            <v xml:space="preserve">Engsel pintu / jendela 4" </v>
          </cell>
          <cell r="C206" t="str">
            <v>buah</v>
          </cell>
          <cell r="D206">
            <v>20300</v>
          </cell>
          <cell r="E206">
            <v>20300</v>
          </cell>
        </row>
        <row r="207">
          <cell r="B207" t="str">
            <v xml:space="preserve">Engsel pintu / jendela 5" </v>
          </cell>
          <cell r="C207" t="str">
            <v>buah</v>
          </cell>
          <cell r="D207">
            <v>28200</v>
          </cell>
          <cell r="E207">
            <v>28200</v>
          </cell>
        </row>
        <row r="208">
          <cell r="B208" t="str">
            <v>Engsel pintu kaca 10 mm</v>
          </cell>
          <cell r="C208" t="str">
            <v>set</v>
          </cell>
          <cell r="D208">
            <v>10600</v>
          </cell>
          <cell r="E208">
            <v>10600</v>
          </cell>
        </row>
        <row r="209">
          <cell r="B209" t="str">
            <v>Engsel putar jendela / ventilasi</v>
          </cell>
          <cell r="C209" t="str">
            <v>buah</v>
          </cell>
          <cell r="D209">
            <v>90000</v>
          </cell>
          <cell r="E209">
            <v>90000</v>
          </cell>
        </row>
        <row r="210">
          <cell r="B210" t="str">
            <v>Engsel kuningan untuk pintu</v>
          </cell>
          <cell r="C210" t="str">
            <v>2 bh</v>
          </cell>
          <cell r="D210">
            <v>20370</v>
          </cell>
          <cell r="E210">
            <v>20370</v>
          </cell>
        </row>
        <row r="211">
          <cell r="B211" t="str">
            <v>Engsel kuningan untuk jendela</v>
          </cell>
          <cell r="C211" t="str">
            <v>2 bh</v>
          </cell>
          <cell r="D211">
            <v>14553</v>
          </cell>
          <cell r="E211">
            <v>14553</v>
          </cell>
        </row>
        <row r="212">
          <cell r="B212" t="str">
            <v>Eternit asbes uk. 1 x 1 (m), tebal 4 mm</v>
          </cell>
          <cell r="C212" t="str">
            <v>m²</v>
          </cell>
          <cell r="D212">
            <v>32700</v>
          </cell>
          <cell r="E212">
            <v>32700</v>
          </cell>
        </row>
        <row r="213">
          <cell r="B213" t="str">
            <v>Eternit asbes uk. 1 x 1 (m), tebal 5 mm</v>
          </cell>
          <cell r="C213" t="str">
            <v>m²</v>
          </cell>
          <cell r="D213">
            <v>34400</v>
          </cell>
          <cell r="E213">
            <v>34400</v>
          </cell>
        </row>
        <row r="214">
          <cell r="B214" t="str">
            <v>Eternit asbes uk. 1 x 1 (m), tebal 6 mm</v>
          </cell>
          <cell r="C214" t="str">
            <v>m²</v>
          </cell>
          <cell r="D214">
            <v>37100</v>
          </cell>
          <cell r="E214">
            <v>37100</v>
          </cell>
        </row>
        <row r="215">
          <cell r="B215" t="str">
            <v>Enternit jaber Ment</v>
          </cell>
          <cell r="C215" t="str">
            <v>m2</v>
          </cell>
          <cell r="D215">
            <v>22680</v>
          </cell>
          <cell r="E215">
            <v>22680</v>
          </cell>
        </row>
        <row r="216">
          <cell r="B216" t="str">
            <v>Exspanoglet</v>
          </cell>
          <cell r="C216" t="str">
            <v>lembar</v>
          </cell>
          <cell r="D216">
            <v>75000</v>
          </cell>
          <cell r="E216">
            <v>75000</v>
          </cell>
        </row>
        <row r="217">
          <cell r="B217" t="str">
            <v>Fibre Plat 1,20 x 2,40 (m), tebal 4 mm</v>
          </cell>
          <cell r="C217" t="str">
            <v>m²</v>
          </cell>
          <cell r="D217">
            <v>84500</v>
          </cell>
          <cell r="E217">
            <v>84500</v>
          </cell>
        </row>
        <row r="218">
          <cell r="B218" t="str">
            <v>Fibre Plat 1,20 x 2,40 (m), tebal 6 mm</v>
          </cell>
          <cell r="C218" t="str">
            <v>m²</v>
          </cell>
          <cell r="D218">
            <v>152100</v>
          </cell>
          <cell r="E218">
            <v>152100</v>
          </cell>
        </row>
        <row r="219">
          <cell r="B219" t="str">
            <v>Fibre Plat 1,20 x 2,40 (m), tebal 8 mm</v>
          </cell>
          <cell r="C219" t="str">
            <v>m²</v>
          </cell>
          <cell r="D219">
            <v>200900</v>
          </cell>
          <cell r="E219">
            <v>200900</v>
          </cell>
        </row>
        <row r="220">
          <cell r="B220" t="str">
            <v xml:space="preserve">Floor drain </v>
          </cell>
          <cell r="C220" t="str">
            <v>buah</v>
          </cell>
          <cell r="D220">
            <v>48400</v>
          </cell>
          <cell r="E220">
            <v>48400</v>
          </cell>
        </row>
        <row r="221">
          <cell r="B221" t="str">
            <v>Formica 4" x 8"</v>
          </cell>
          <cell r="C221" t="str">
            <v>lbr</v>
          </cell>
          <cell r="D221">
            <v>79400</v>
          </cell>
          <cell r="E221">
            <v>79400</v>
          </cell>
        </row>
        <row r="222">
          <cell r="B222" t="str">
            <v>Flange C1 dia 200 mm</v>
          </cell>
          <cell r="C222" t="str">
            <v>bh</v>
          </cell>
          <cell r="D222">
            <v>136025.82</v>
          </cell>
          <cell r="E222">
            <v>136025.82</v>
          </cell>
        </row>
        <row r="223">
          <cell r="B223" t="str">
            <v>Flange Socket PVC dia 200 mm</v>
          </cell>
          <cell r="C223" t="str">
            <v>unit</v>
          </cell>
          <cell r="D223">
            <v>548436.42000000004</v>
          </cell>
          <cell r="E223">
            <v>548436.42000000004</v>
          </cell>
        </row>
        <row r="224">
          <cell r="B224" t="str">
            <v>Filler</v>
          </cell>
          <cell r="C224" t="str">
            <v>kg</v>
          </cell>
          <cell r="D224">
            <v>1512</v>
          </cell>
          <cell r="E224">
            <v>1512</v>
          </cell>
        </row>
        <row r="225">
          <cell r="B225" t="str">
            <v>Gate valve / stop kran ø 1 (inch) kuningan</v>
          </cell>
          <cell r="C225" t="str">
            <v>buah</v>
          </cell>
          <cell r="D225">
            <v>11500</v>
          </cell>
          <cell r="E225">
            <v>11500</v>
          </cell>
        </row>
        <row r="226">
          <cell r="B226" t="str">
            <v>Gate valve / stop kran ø 1/2 (inch) kuningan</v>
          </cell>
          <cell r="C226" t="str">
            <v>buah</v>
          </cell>
          <cell r="D226">
            <v>7900</v>
          </cell>
          <cell r="E226">
            <v>7900</v>
          </cell>
        </row>
        <row r="227">
          <cell r="B227" t="str">
            <v xml:space="preserve">Gate valve / stop kran ø 100 (mm) </v>
          </cell>
          <cell r="C227" t="str">
            <v>buah</v>
          </cell>
          <cell r="D227">
            <v>4203957.24</v>
          </cell>
          <cell r="E227">
            <v>4203957.24</v>
          </cell>
        </row>
        <row r="228">
          <cell r="B228" t="str">
            <v>Gate valve / stop kran ø 3/4 (inch) kuningan</v>
          </cell>
          <cell r="C228" t="str">
            <v>buah</v>
          </cell>
          <cell r="D228">
            <v>16800</v>
          </cell>
          <cell r="E228">
            <v>16800</v>
          </cell>
        </row>
        <row r="229">
          <cell r="B229" t="str">
            <v>Gate Valve dia 150 + Flange socket</v>
          </cell>
          <cell r="C229" t="str">
            <v>unit</v>
          </cell>
          <cell r="D229">
            <v>5940616.3600000003</v>
          </cell>
          <cell r="E229">
            <v>5940616.3600000003</v>
          </cell>
        </row>
        <row r="230">
          <cell r="B230" t="str">
            <v>Gate Valve dia 200 mm</v>
          </cell>
          <cell r="C230" t="str">
            <v>m'</v>
          </cell>
          <cell r="D230">
            <v>3693861.36</v>
          </cell>
          <cell r="E230">
            <v>3693861.36</v>
          </cell>
        </row>
        <row r="231">
          <cell r="B231" t="str">
            <v>Gate Valve dia 50 + Flange socket</v>
          </cell>
          <cell r="C231" t="str">
            <v>unit</v>
          </cell>
          <cell r="D231">
            <v>68922</v>
          </cell>
          <cell r="E231">
            <v>68922</v>
          </cell>
        </row>
        <row r="232">
          <cell r="B232" t="str">
            <v>Gate Valve dia 80 + Flange socket</v>
          </cell>
          <cell r="C232" t="str">
            <v>unit</v>
          </cell>
          <cell r="D232">
            <v>1761606</v>
          </cell>
          <cell r="E232">
            <v>1761606</v>
          </cell>
        </row>
        <row r="233">
          <cell r="B233" t="str">
            <v>Gibult Joint dia 200 mm</v>
          </cell>
          <cell r="C233" t="str">
            <v>unit</v>
          </cell>
          <cell r="D233">
            <v>3324958.56</v>
          </cell>
          <cell r="E233">
            <v>3324958.56</v>
          </cell>
        </row>
        <row r="234">
          <cell r="B234" t="str">
            <v>Glass block uk. 20 x 20 (cm)</v>
          </cell>
          <cell r="C234" t="str">
            <v>buah</v>
          </cell>
          <cell r="D234">
            <v>25600</v>
          </cell>
          <cell r="E234">
            <v>25600</v>
          </cell>
        </row>
        <row r="235">
          <cell r="B235" t="str">
            <v>Grease (minyak gemuk)</v>
          </cell>
          <cell r="C235" t="str">
            <v>kg</v>
          </cell>
          <cell r="D235">
            <v>43200</v>
          </cell>
          <cell r="E235">
            <v>43200</v>
          </cell>
        </row>
        <row r="236">
          <cell r="B236" t="str">
            <v>Grendel (biasa)</v>
          </cell>
          <cell r="C236" t="str">
            <v>buah</v>
          </cell>
          <cell r="D236">
            <v>20300</v>
          </cell>
          <cell r="E236">
            <v>20300</v>
          </cell>
        </row>
        <row r="237">
          <cell r="B237" t="str">
            <v>Grendel (istimewa)</v>
          </cell>
          <cell r="C237" t="str">
            <v>buah</v>
          </cell>
          <cell r="D237">
            <v>158000</v>
          </cell>
          <cell r="E237">
            <v>158000</v>
          </cell>
        </row>
        <row r="238">
          <cell r="B238" t="str">
            <v xml:space="preserve">Gypsum board motif uk. 1.22 x 2.44 (m), tebal 9 mm </v>
          </cell>
          <cell r="C238" t="str">
            <v>lembar</v>
          </cell>
          <cell r="D238">
            <v>116500</v>
          </cell>
          <cell r="E238">
            <v>116500</v>
          </cell>
        </row>
        <row r="239">
          <cell r="B239" t="str">
            <v>Gypsum board polos uk. 1.22 x 2.44 (m), tebal 9 mm</v>
          </cell>
          <cell r="C239" t="str">
            <v>lembar</v>
          </cell>
          <cell r="D239">
            <v>56385</v>
          </cell>
          <cell r="E239">
            <v>56385</v>
          </cell>
        </row>
        <row r="240">
          <cell r="B240" t="str">
            <v>Grendel kuning</v>
          </cell>
          <cell r="C240" t="str">
            <v>bh</v>
          </cell>
          <cell r="D240">
            <v>8190</v>
          </cell>
          <cell r="E240">
            <v>8190</v>
          </cell>
        </row>
        <row r="241">
          <cell r="B241" t="str">
            <v>Handle jendela</v>
          </cell>
          <cell r="C241" t="str">
            <v>buah</v>
          </cell>
          <cell r="D241">
            <v>37900</v>
          </cell>
          <cell r="E241">
            <v>37900</v>
          </cell>
        </row>
        <row r="242">
          <cell r="B242" t="str">
            <v>Handle pintu</v>
          </cell>
          <cell r="C242" t="str">
            <v>buah</v>
          </cell>
          <cell r="D242">
            <v>37900</v>
          </cell>
          <cell r="E242">
            <v>37900</v>
          </cell>
        </row>
        <row r="243">
          <cell r="B243" t="str">
            <v>Handle untuk meubelair (furniture) + kunci</v>
          </cell>
          <cell r="C243" t="str">
            <v>buah</v>
          </cell>
          <cell r="D243">
            <v>64400</v>
          </cell>
          <cell r="E243">
            <v>64400</v>
          </cell>
        </row>
        <row r="244">
          <cell r="B244" t="str">
            <v>Handle untuk pintu kaca lebar</v>
          </cell>
          <cell r="C244" t="str">
            <v>buah</v>
          </cell>
          <cell r="D244">
            <v>2206300</v>
          </cell>
          <cell r="E244">
            <v>2206300</v>
          </cell>
        </row>
        <row r="245">
          <cell r="B245" t="str">
            <v>Hollow block (H.B. 10)</v>
          </cell>
          <cell r="C245" t="str">
            <v>buah</v>
          </cell>
          <cell r="D245">
            <v>57400</v>
          </cell>
          <cell r="E245">
            <v>57400</v>
          </cell>
        </row>
        <row r="246">
          <cell r="B246" t="str">
            <v>Hollow block (H.B. 15)</v>
          </cell>
          <cell r="C246" t="str">
            <v>buah</v>
          </cell>
          <cell r="D246">
            <v>62700</v>
          </cell>
          <cell r="E246">
            <v>62700</v>
          </cell>
        </row>
        <row r="247">
          <cell r="B247" t="str">
            <v>Hollow block (H.B. 20)</v>
          </cell>
          <cell r="C247" t="str">
            <v>buah</v>
          </cell>
          <cell r="D247">
            <v>75000</v>
          </cell>
          <cell r="E247">
            <v>75000</v>
          </cell>
        </row>
        <row r="248">
          <cell r="B248" t="str">
            <v>Hook</v>
          </cell>
          <cell r="C248" t="str">
            <v>buah</v>
          </cell>
          <cell r="D248">
            <v>20300</v>
          </cell>
          <cell r="E248">
            <v>20300</v>
          </cell>
        </row>
        <row r="249">
          <cell r="B249" t="str">
            <v>Huruf Galvanized-Stainless steel</v>
          </cell>
          <cell r="C249" t="str">
            <v>m²</v>
          </cell>
          <cell r="D249">
            <v>402400</v>
          </cell>
          <cell r="E249">
            <v>402400</v>
          </cell>
        </row>
        <row r="250">
          <cell r="B250" t="str">
            <v>Jendela besi</v>
          </cell>
          <cell r="C250" t="str">
            <v>m²</v>
          </cell>
          <cell r="D250">
            <v>402400</v>
          </cell>
          <cell r="E250">
            <v>402400</v>
          </cell>
        </row>
        <row r="251">
          <cell r="B251" t="str">
            <v>Jendela nako (kerangka + kaca 5 mm)</v>
          </cell>
          <cell r="C251" t="str">
            <v>m²</v>
          </cell>
          <cell r="D251">
            <v>238300</v>
          </cell>
          <cell r="E251">
            <v>238300</v>
          </cell>
        </row>
        <row r="252">
          <cell r="B252" t="str">
            <v>Daun jendela alumunium lengkap ( 80 x 120 ) cm</v>
          </cell>
          <cell r="C252" t="str">
            <v>bh</v>
          </cell>
          <cell r="D252">
            <v>503566.88</v>
          </cell>
          <cell r="E252">
            <v>503566.88</v>
          </cell>
        </row>
        <row r="253">
          <cell r="B253" t="str">
            <v>Daun pintu alumunium lengkap ( 90 x 120 )</v>
          </cell>
          <cell r="C253" t="str">
            <v>bh</v>
          </cell>
          <cell r="D253">
            <v>700000</v>
          </cell>
          <cell r="E253">
            <v>700000</v>
          </cell>
        </row>
        <row r="254">
          <cell r="B254" t="str">
            <v>Daun pintu alumunium untuk WC ( 80 x 200 )</v>
          </cell>
          <cell r="C254" t="str">
            <v>bh</v>
          </cell>
          <cell r="D254">
            <v>882000</v>
          </cell>
          <cell r="E254">
            <v>882000</v>
          </cell>
        </row>
        <row r="255">
          <cell r="B255" t="str">
            <v>Kabel biasa</v>
          </cell>
          <cell r="C255" t="str">
            <v>m'</v>
          </cell>
          <cell r="D255">
            <v>3400</v>
          </cell>
          <cell r="E255">
            <v>3400</v>
          </cell>
        </row>
        <row r="256">
          <cell r="B256" t="str">
            <v>Kabel bulat</v>
          </cell>
          <cell r="C256" t="str">
            <v>m'</v>
          </cell>
          <cell r="D256">
            <v>4800</v>
          </cell>
          <cell r="E256">
            <v>4800</v>
          </cell>
        </row>
        <row r="257">
          <cell r="B257" t="str">
            <v>Kabel listrik NYY 4 x 2,5 mm²</v>
          </cell>
          <cell r="C257" t="str">
            <v>m'</v>
          </cell>
          <cell r="D257">
            <v>5800</v>
          </cell>
          <cell r="E257">
            <v>5800</v>
          </cell>
        </row>
        <row r="258">
          <cell r="B258" t="str">
            <v>Kabel listrik NYY 4 x 4 mm²</v>
          </cell>
          <cell r="C258" t="str">
            <v>m'</v>
          </cell>
          <cell r="D258">
            <v>12200</v>
          </cell>
          <cell r="E258">
            <v>12200</v>
          </cell>
        </row>
        <row r="259">
          <cell r="B259" t="str">
            <v>Kabel slink</v>
          </cell>
          <cell r="C259" t="str">
            <v>m'</v>
          </cell>
          <cell r="D259">
            <v>30800</v>
          </cell>
          <cell r="E259">
            <v>30800</v>
          </cell>
        </row>
        <row r="260">
          <cell r="B260" t="str">
            <v>Kaca bening tebal 10 mm</v>
          </cell>
          <cell r="C260" t="str">
            <v>m²</v>
          </cell>
          <cell r="D260">
            <v>359400</v>
          </cell>
          <cell r="E260">
            <v>359400</v>
          </cell>
        </row>
        <row r="261">
          <cell r="B261" t="str">
            <v>Kaca bening tebal 3 mm</v>
          </cell>
          <cell r="C261" t="str">
            <v>m²</v>
          </cell>
          <cell r="D261">
            <v>102294.36</v>
          </cell>
          <cell r="E261">
            <v>102294.36</v>
          </cell>
        </row>
        <row r="262">
          <cell r="B262" t="str">
            <v>Kaca bening tebal 5 mm</v>
          </cell>
          <cell r="C262" t="str">
            <v>m²</v>
          </cell>
          <cell r="D262">
            <v>132300</v>
          </cell>
          <cell r="E262">
            <v>132300</v>
          </cell>
        </row>
        <row r="263">
          <cell r="B263" t="str">
            <v>Kaca bening tebal 8 mm</v>
          </cell>
          <cell r="C263" t="str">
            <v>m²</v>
          </cell>
          <cell r="D263">
            <v>253100</v>
          </cell>
          <cell r="E263">
            <v>253100</v>
          </cell>
        </row>
        <row r="264">
          <cell r="B264" t="str">
            <v>Kaca buram tebal 12 mm</v>
          </cell>
          <cell r="C264" t="str">
            <v>m²</v>
          </cell>
          <cell r="D264">
            <v>432400</v>
          </cell>
          <cell r="E264">
            <v>432400</v>
          </cell>
        </row>
        <row r="265">
          <cell r="B265" t="str">
            <v>Kaca cermin tebal 5 mm</v>
          </cell>
          <cell r="C265" t="str">
            <v>m²</v>
          </cell>
          <cell r="D265">
            <v>165000</v>
          </cell>
          <cell r="E265">
            <v>165000</v>
          </cell>
        </row>
        <row r="266">
          <cell r="B266" t="str">
            <v>Kaca cermin tebal 6 mm</v>
          </cell>
          <cell r="C266" t="str">
            <v>m²</v>
          </cell>
          <cell r="D266">
            <v>197700</v>
          </cell>
          <cell r="E266">
            <v>197700</v>
          </cell>
        </row>
        <row r="267">
          <cell r="B267" t="str">
            <v>Kaca cermin tebal 8 mm</v>
          </cell>
          <cell r="C267" t="str">
            <v>m²</v>
          </cell>
          <cell r="D267">
            <v>263900</v>
          </cell>
          <cell r="E267">
            <v>263900</v>
          </cell>
        </row>
        <row r="268">
          <cell r="B268" t="str">
            <v>Kaca gelap (ray band) tebal 10 mm</v>
          </cell>
          <cell r="C268" t="str">
            <v>m²</v>
          </cell>
          <cell r="D268">
            <v>441300</v>
          </cell>
          <cell r="E268">
            <v>441300</v>
          </cell>
        </row>
        <row r="269">
          <cell r="B269" t="str">
            <v>Kaca gelap (ray band) tebal 12 mm</v>
          </cell>
          <cell r="C269" t="str">
            <v>m²</v>
          </cell>
          <cell r="D269">
            <v>529500</v>
          </cell>
          <cell r="E269">
            <v>529500</v>
          </cell>
        </row>
        <row r="270">
          <cell r="B270" t="str">
            <v>Kaca gelap (ray band) tebal 5 mm</v>
          </cell>
          <cell r="C270" t="str">
            <v>m²</v>
          </cell>
          <cell r="D270">
            <v>220600</v>
          </cell>
          <cell r="E270">
            <v>220600</v>
          </cell>
        </row>
        <row r="271">
          <cell r="B271" t="str">
            <v>Kaca naco ryben 5 mm (lengkap) uk. 15 x 17 cm</v>
          </cell>
          <cell r="C271" t="str">
            <v>Daun</v>
          </cell>
          <cell r="D271">
            <v>34776</v>
          </cell>
          <cell r="E271">
            <v>34776</v>
          </cell>
        </row>
        <row r="272">
          <cell r="B272" t="str">
            <v>Kaca ryben 3 m</v>
          </cell>
          <cell r="C272" t="str">
            <v>m2</v>
          </cell>
          <cell r="D272">
            <v>135025.38</v>
          </cell>
          <cell r="E272">
            <v>135025.38</v>
          </cell>
        </row>
        <row r="273">
          <cell r="B273" t="str">
            <v>Kaca ryben 5 m</v>
          </cell>
          <cell r="C273" t="str">
            <v>m2</v>
          </cell>
          <cell r="D273">
            <v>151200</v>
          </cell>
          <cell r="E273">
            <v>151200</v>
          </cell>
        </row>
        <row r="274">
          <cell r="B274" t="str">
            <v>Kaca patri tebal 5 mm</v>
          </cell>
          <cell r="C274" t="str">
            <v>m²</v>
          </cell>
          <cell r="D274">
            <v>2137800</v>
          </cell>
          <cell r="E274">
            <v>2137800</v>
          </cell>
        </row>
        <row r="275">
          <cell r="B275" t="str">
            <v>Kaca wireglass tebal 5 mm</v>
          </cell>
          <cell r="C275" t="str">
            <v>m²</v>
          </cell>
          <cell r="D275">
            <v>874600</v>
          </cell>
          <cell r="E275">
            <v>874600</v>
          </cell>
        </row>
        <row r="276">
          <cell r="B276" t="str">
            <v>Kain kassa</v>
          </cell>
          <cell r="C276" t="str">
            <v>kg</v>
          </cell>
          <cell r="D276">
            <v>16500</v>
          </cell>
          <cell r="E276">
            <v>16500</v>
          </cell>
        </row>
        <row r="277">
          <cell r="B277" t="str">
            <v>Kait angin (biasa)</v>
          </cell>
          <cell r="C277" t="str">
            <v>buah</v>
          </cell>
          <cell r="D277">
            <v>10899</v>
          </cell>
          <cell r="E277">
            <v>10899</v>
          </cell>
        </row>
        <row r="278">
          <cell r="B278" t="str">
            <v>Kait angin (istimewa)</v>
          </cell>
          <cell r="C278" t="str">
            <v>buah</v>
          </cell>
          <cell r="D278">
            <v>16800</v>
          </cell>
          <cell r="E278">
            <v>16800</v>
          </cell>
        </row>
        <row r="279">
          <cell r="B279" t="str">
            <v>Kapur bakar</v>
          </cell>
          <cell r="C279" t="str">
            <v>m³</v>
          </cell>
          <cell r="D279">
            <v>105900</v>
          </cell>
          <cell r="E279">
            <v>105900</v>
          </cell>
        </row>
        <row r="280">
          <cell r="B280" t="str">
            <v>Kapur sirih</v>
          </cell>
          <cell r="C280" t="str">
            <v>kg</v>
          </cell>
          <cell r="D280">
            <v>37100</v>
          </cell>
          <cell r="E280">
            <v>37100</v>
          </cell>
        </row>
        <row r="281">
          <cell r="B281" t="str">
            <v>Karpet talang, lebar 0,60 m'</v>
          </cell>
          <cell r="C281" t="str">
            <v>m'</v>
          </cell>
          <cell r="D281">
            <v>13671</v>
          </cell>
          <cell r="E281">
            <v>13671</v>
          </cell>
        </row>
        <row r="282">
          <cell r="B282" t="str">
            <v>Kawat  nyamuk logam</v>
          </cell>
          <cell r="C282" t="str">
            <v>m²</v>
          </cell>
          <cell r="D282">
            <v>26500</v>
          </cell>
          <cell r="E282">
            <v>26500</v>
          </cell>
        </row>
        <row r="283">
          <cell r="B283" t="str">
            <v>Kawat  nyamuk plastik</v>
          </cell>
          <cell r="C283" t="str">
            <v>m²</v>
          </cell>
          <cell r="D283">
            <v>24700</v>
          </cell>
          <cell r="E283">
            <v>24700</v>
          </cell>
        </row>
        <row r="284">
          <cell r="B284" t="str">
            <v>Kawat berduri</v>
          </cell>
          <cell r="C284" t="str">
            <v>kg</v>
          </cell>
          <cell r="D284">
            <v>18900</v>
          </cell>
          <cell r="E284">
            <v>18900</v>
          </cell>
        </row>
        <row r="285">
          <cell r="B285" t="str">
            <v>Kawat beton</v>
          </cell>
          <cell r="C285" t="str">
            <v>kg</v>
          </cell>
          <cell r="D285">
            <v>22050</v>
          </cell>
          <cell r="E285">
            <v>22050</v>
          </cell>
        </row>
        <row r="286">
          <cell r="B286" t="str">
            <v>Kawat bronjong</v>
          </cell>
          <cell r="C286" t="str">
            <v>kg</v>
          </cell>
          <cell r="D286">
            <v>126200</v>
          </cell>
          <cell r="E286">
            <v>126200</v>
          </cell>
        </row>
        <row r="287">
          <cell r="B287" t="str">
            <v>Kawat burung</v>
          </cell>
          <cell r="C287" t="str">
            <v>m²</v>
          </cell>
          <cell r="D287">
            <v>22900</v>
          </cell>
          <cell r="E287">
            <v>22900</v>
          </cell>
        </row>
        <row r="288">
          <cell r="B288" t="str">
            <v>Kawat harmonika</v>
          </cell>
          <cell r="C288" t="str">
            <v>m²</v>
          </cell>
          <cell r="D288">
            <v>109400</v>
          </cell>
          <cell r="E288">
            <v>109400</v>
          </cell>
        </row>
        <row r="289">
          <cell r="B289" t="str">
            <v>Kawat kassa / kawat loket</v>
          </cell>
          <cell r="C289" t="str">
            <v>m²</v>
          </cell>
          <cell r="D289">
            <v>19400</v>
          </cell>
          <cell r="E289">
            <v>19400</v>
          </cell>
        </row>
        <row r="290">
          <cell r="B290" t="str">
            <v>Kawat seng polos</v>
          </cell>
          <cell r="C290" t="str">
            <v>kg</v>
          </cell>
          <cell r="D290">
            <v>20300</v>
          </cell>
          <cell r="E290">
            <v>20300</v>
          </cell>
        </row>
        <row r="291">
          <cell r="B291" t="str">
            <v>Kayu bakar</v>
          </cell>
          <cell r="C291" t="str">
            <v>m³</v>
          </cell>
          <cell r="D291">
            <v>315000</v>
          </cell>
          <cell r="E291">
            <v>315000</v>
          </cell>
        </row>
        <row r="292">
          <cell r="B292" t="str">
            <v>Kayu bulat "4 cm</v>
          </cell>
          <cell r="C292" t="str">
            <v>m3</v>
          </cell>
          <cell r="D292">
            <v>1066867.2</v>
          </cell>
          <cell r="E292">
            <v>1066867.2</v>
          </cell>
        </row>
        <row r="293">
          <cell r="B293" t="str">
            <v>Kayu bulat dia 8 -10/4 m</v>
          </cell>
          <cell r="C293" t="str">
            <v>m3</v>
          </cell>
          <cell r="D293">
            <v>636498.84</v>
          </cell>
          <cell r="E293">
            <v>636498.84</v>
          </cell>
        </row>
        <row r="294">
          <cell r="B294" t="str">
            <v>Kayu dolken ø 8 - 10 (cm) panjang 4 m / kiau</v>
          </cell>
          <cell r="C294" t="str">
            <v>batang</v>
          </cell>
          <cell r="D294">
            <v>19096.88</v>
          </cell>
          <cell r="E294">
            <v>19096.88</v>
          </cell>
        </row>
        <row r="295">
          <cell r="B295" t="str">
            <v>Kayu gergajian kelas II, balok</v>
          </cell>
          <cell r="C295" t="str">
            <v>m³</v>
          </cell>
          <cell r="D295">
            <v>3075995.61</v>
          </cell>
          <cell r="E295">
            <v>3075995.61</v>
          </cell>
        </row>
        <row r="296">
          <cell r="B296" t="str">
            <v>Kayu gergajian kelas II, papan</v>
          </cell>
          <cell r="C296" t="str">
            <v>m³</v>
          </cell>
          <cell r="D296">
            <v>3574100</v>
          </cell>
          <cell r="E296">
            <v>3574100</v>
          </cell>
        </row>
        <row r="297">
          <cell r="B297" t="str">
            <v>Kayu gergajian kelas II, profil</v>
          </cell>
          <cell r="C297" t="str">
            <v>m'</v>
          </cell>
          <cell r="D297">
            <v>19400</v>
          </cell>
          <cell r="E297">
            <v>19400</v>
          </cell>
        </row>
        <row r="298">
          <cell r="B298" t="str">
            <v>Kayu gergajian kelas III, balok</v>
          </cell>
          <cell r="C298" t="str">
            <v>m³</v>
          </cell>
          <cell r="D298">
            <v>2652249.52</v>
          </cell>
          <cell r="E298">
            <v>2652249.52</v>
          </cell>
        </row>
        <row r="299">
          <cell r="B299" t="str">
            <v>Kayu gergajian kelas III, papan</v>
          </cell>
          <cell r="C299" t="str">
            <v>m³</v>
          </cell>
          <cell r="D299">
            <v>2462200</v>
          </cell>
          <cell r="E299">
            <v>2462200</v>
          </cell>
        </row>
        <row r="300">
          <cell r="B300" t="str">
            <v>Kayu gergajian kelas III, profil</v>
          </cell>
          <cell r="C300" t="str">
            <v>m'</v>
          </cell>
          <cell r="D300">
            <v>10100</v>
          </cell>
          <cell r="E300">
            <v>10100</v>
          </cell>
        </row>
        <row r="301">
          <cell r="B301" t="str">
            <v>Kayu gergajian kelas IV, balok</v>
          </cell>
          <cell r="C301" t="str">
            <v>m³</v>
          </cell>
          <cell r="D301">
            <v>1919318.71</v>
          </cell>
          <cell r="E301">
            <v>1919318.71</v>
          </cell>
        </row>
        <row r="302">
          <cell r="B302" t="str">
            <v>Kayu gergajian kelas IV, papan</v>
          </cell>
          <cell r="C302" t="str">
            <v>m³</v>
          </cell>
          <cell r="D302">
            <v>1676800</v>
          </cell>
          <cell r="E302">
            <v>1676800</v>
          </cell>
        </row>
        <row r="303">
          <cell r="B303" t="str">
            <v>Kayu untuk konstruksi jembatan</v>
          </cell>
          <cell r="C303" t="str">
            <v>m³</v>
          </cell>
          <cell r="D303">
            <v>4236000</v>
          </cell>
          <cell r="E303">
            <v>4236000</v>
          </cell>
        </row>
        <row r="304">
          <cell r="B304" t="str">
            <v>Kayu untuk perancah</v>
          </cell>
          <cell r="C304" t="str">
            <v>m³</v>
          </cell>
          <cell r="D304">
            <v>1209000</v>
          </cell>
          <cell r="E304">
            <v>1209000</v>
          </cell>
        </row>
        <row r="305">
          <cell r="B305" t="str">
            <v>Keramik 10 x 20 (cm) gelap</v>
          </cell>
          <cell r="C305" t="str">
            <v>m²</v>
          </cell>
          <cell r="D305">
            <v>74100</v>
          </cell>
          <cell r="E305">
            <v>74100</v>
          </cell>
        </row>
        <row r="306">
          <cell r="B306" t="str">
            <v>Keramik 10 x 20 (cm) polos</v>
          </cell>
          <cell r="C306" t="str">
            <v>m²</v>
          </cell>
          <cell r="D306">
            <v>79400</v>
          </cell>
          <cell r="E306">
            <v>79400</v>
          </cell>
        </row>
        <row r="307">
          <cell r="B307" t="str">
            <v>Keramik 10 x 20 (cm) terang</v>
          </cell>
          <cell r="C307" t="str">
            <v>m²</v>
          </cell>
          <cell r="D307">
            <v>74100</v>
          </cell>
          <cell r="E307">
            <v>74100</v>
          </cell>
        </row>
        <row r="308">
          <cell r="B308" t="str">
            <v>Keramik 15 x 15 cm</v>
          </cell>
          <cell r="C308" t="str">
            <v>m²</v>
          </cell>
          <cell r="D308">
            <v>0</v>
          </cell>
        </row>
        <row r="309">
          <cell r="B309" t="str">
            <v>Keramik 15 x 20 cm</v>
          </cell>
          <cell r="C309" t="str">
            <v>m²</v>
          </cell>
          <cell r="D309">
            <v>75900</v>
          </cell>
          <cell r="E309">
            <v>75900</v>
          </cell>
        </row>
        <row r="310">
          <cell r="B310" t="str">
            <v>Keramik 20 x 20 (cm) polos</v>
          </cell>
          <cell r="C310" t="str">
            <v>m²</v>
          </cell>
          <cell r="D310">
            <v>77700</v>
          </cell>
          <cell r="E310">
            <v>77700</v>
          </cell>
        </row>
        <row r="311">
          <cell r="B311" t="str">
            <v>Keramik 20 x 25 (cm)</v>
          </cell>
          <cell r="C311" t="str">
            <v>m²</v>
          </cell>
          <cell r="D311">
            <v>92700</v>
          </cell>
          <cell r="E311">
            <v>92700</v>
          </cell>
        </row>
        <row r="312">
          <cell r="B312" t="str">
            <v>Keramik 25 x 25 cm</v>
          </cell>
          <cell r="C312" t="str">
            <v>m²</v>
          </cell>
          <cell r="D312">
            <v>81200</v>
          </cell>
          <cell r="E312">
            <v>81200</v>
          </cell>
        </row>
        <row r="313">
          <cell r="B313" t="str">
            <v>Keramik 30 x 30 (cm) gelap</v>
          </cell>
          <cell r="C313" t="str">
            <v>m²</v>
          </cell>
          <cell r="D313">
            <v>93500</v>
          </cell>
          <cell r="E313">
            <v>93500</v>
          </cell>
        </row>
        <row r="314">
          <cell r="B314" t="str">
            <v>Keramik 30 x 30 (cm) polos</v>
          </cell>
          <cell r="C314" t="str">
            <v>m²</v>
          </cell>
          <cell r="D314">
            <v>84700</v>
          </cell>
          <cell r="E314">
            <v>84700</v>
          </cell>
        </row>
        <row r="315">
          <cell r="B315" t="str">
            <v>Keramik 30 x 30 (cm) putih / berwarna</v>
          </cell>
          <cell r="C315" t="str">
            <v>m²</v>
          </cell>
          <cell r="D315">
            <v>79400</v>
          </cell>
          <cell r="E315">
            <v>79400</v>
          </cell>
        </row>
        <row r="316">
          <cell r="B316" t="str">
            <v>Keramik 30 x 30 (cm) terang</v>
          </cell>
          <cell r="C316" t="str">
            <v>m²</v>
          </cell>
          <cell r="D316">
            <v>84700</v>
          </cell>
          <cell r="E316">
            <v>84700</v>
          </cell>
        </row>
        <row r="317">
          <cell r="B317" t="str">
            <v>Keramik 40 x 40 (cm) putih / berwarna</v>
          </cell>
          <cell r="C317" t="str">
            <v>m²</v>
          </cell>
          <cell r="D317">
            <v>95300</v>
          </cell>
          <cell r="E317">
            <v>95300</v>
          </cell>
        </row>
        <row r="318">
          <cell r="B318" t="str">
            <v>Keramik KM/WC anti slip 20 x 20 (cm)</v>
          </cell>
          <cell r="C318" t="str">
            <v>m²</v>
          </cell>
          <cell r="D318">
            <v>77700</v>
          </cell>
          <cell r="E318">
            <v>77700</v>
          </cell>
        </row>
        <row r="319">
          <cell r="B319" t="str">
            <v>Keramik 30x30 cm merk "Hercules" ( corak )</v>
          </cell>
          <cell r="C319" t="str">
            <v>m2</v>
          </cell>
          <cell r="D319">
            <v>60725.7</v>
          </cell>
          <cell r="E319">
            <v>60725.7</v>
          </cell>
        </row>
        <row r="320">
          <cell r="B320" t="str">
            <v>Keramik 30x30 cm merk "Ikad" ( polos )</v>
          </cell>
          <cell r="C320" t="str">
            <v>m2</v>
          </cell>
          <cell r="D320">
            <v>67155.48</v>
          </cell>
          <cell r="E320">
            <v>67155.48</v>
          </cell>
        </row>
        <row r="321">
          <cell r="B321" t="str">
            <v>Keramik 30x30 cm merk "Ikad" ( corak )</v>
          </cell>
          <cell r="C321" t="str">
            <v>m2</v>
          </cell>
          <cell r="D321">
            <v>72514.259999999995</v>
          </cell>
          <cell r="E321">
            <v>72514.259999999995</v>
          </cell>
        </row>
        <row r="322">
          <cell r="B322" t="str">
            <v>Keramik 30x30 cm merk "KIA" ( polos )</v>
          </cell>
          <cell r="C322" t="str">
            <v>m2</v>
          </cell>
          <cell r="D322">
            <v>60102</v>
          </cell>
          <cell r="E322">
            <v>60102</v>
          </cell>
        </row>
        <row r="323">
          <cell r="B323" t="str">
            <v>Keramik 30x30 cm merk "KIA" ( corak )</v>
          </cell>
          <cell r="C323" t="str">
            <v>m2</v>
          </cell>
          <cell r="D323">
            <v>55010.34</v>
          </cell>
          <cell r="E323">
            <v>55010.34</v>
          </cell>
        </row>
        <row r="324">
          <cell r="B324" t="str">
            <v>Keramik 20x25 cm merk "Mulia" ( corak )</v>
          </cell>
          <cell r="C324" t="str">
            <v>m2</v>
          </cell>
          <cell r="D324">
            <v>68040</v>
          </cell>
          <cell r="E324">
            <v>68040</v>
          </cell>
        </row>
        <row r="325">
          <cell r="B325" t="str">
            <v>Knee / elbow PVC 1(inch)</v>
          </cell>
          <cell r="C325" t="str">
            <v>buah</v>
          </cell>
          <cell r="D325">
            <v>6200</v>
          </cell>
          <cell r="E325">
            <v>6200</v>
          </cell>
        </row>
        <row r="326">
          <cell r="B326" t="str">
            <v>Knee / elbow PVC 1/2 (inch)</v>
          </cell>
          <cell r="C326" t="str">
            <v>buah</v>
          </cell>
          <cell r="D326">
            <v>3100</v>
          </cell>
          <cell r="E326">
            <v>3100</v>
          </cell>
        </row>
        <row r="327">
          <cell r="B327" t="str">
            <v>Knee / elbow PVC 3/4 (inch)</v>
          </cell>
          <cell r="C327" t="str">
            <v>buah</v>
          </cell>
          <cell r="D327">
            <v>3700</v>
          </cell>
          <cell r="E327">
            <v>3700</v>
          </cell>
        </row>
        <row r="328">
          <cell r="B328" t="str">
            <v>Knee Gip dia 13 mm</v>
          </cell>
          <cell r="C328" t="str">
            <v>bh</v>
          </cell>
          <cell r="D328">
            <v>3830.4</v>
          </cell>
          <cell r="E328">
            <v>3830.4</v>
          </cell>
        </row>
        <row r="329">
          <cell r="B329" t="str">
            <v>Knee PVC dia 3"</v>
          </cell>
          <cell r="C329" t="str">
            <v>bh</v>
          </cell>
          <cell r="D329">
            <v>9169.02</v>
          </cell>
          <cell r="E329">
            <v>9169.02</v>
          </cell>
        </row>
        <row r="330">
          <cell r="B330" t="str">
            <v>Kompon gypsum</v>
          </cell>
          <cell r="C330" t="str">
            <v>lembar</v>
          </cell>
          <cell r="D330">
            <v>47700</v>
          </cell>
          <cell r="E330">
            <v>47700</v>
          </cell>
        </row>
        <row r="331">
          <cell r="B331" t="str">
            <v>Koral beton</v>
          </cell>
          <cell r="C331" t="str">
            <v>m3</v>
          </cell>
          <cell r="D331">
            <v>453600</v>
          </cell>
          <cell r="E331">
            <v>453600</v>
          </cell>
        </row>
        <row r="332">
          <cell r="B332" t="str">
            <v>Kopling dia 13 mm</v>
          </cell>
          <cell r="C332" t="str">
            <v>bh</v>
          </cell>
          <cell r="D332">
            <v>7560</v>
          </cell>
          <cell r="E332">
            <v>7560</v>
          </cell>
        </row>
        <row r="333">
          <cell r="B333" t="str">
            <v>Kran air dia 13 mm</v>
          </cell>
          <cell r="C333" t="str">
            <v>bh</v>
          </cell>
          <cell r="D333">
            <v>50400</v>
          </cell>
          <cell r="E333">
            <v>50400</v>
          </cell>
        </row>
        <row r="334">
          <cell r="B334" t="str">
            <v xml:space="preserve">Kran air ø 0,75 (inch)  </v>
          </cell>
          <cell r="C334" t="str">
            <v>buah</v>
          </cell>
          <cell r="D334">
            <v>39700</v>
          </cell>
          <cell r="E334">
            <v>39700</v>
          </cell>
        </row>
        <row r="335">
          <cell r="B335" t="str">
            <v xml:space="preserve">Kran air ø 1,50 (inch)  </v>
          </cell>
          <cell r="C335" t="str">
            <v>buah</v>
          </cell>
          <cell r="D335">
            <v>48500</v>
          </cell>
          <cell r="E335">
            <v>48500</v>
          </cell>
        </row>
        <row r="336">
          <cell r="B336" t="str">
            <v>Kuas roll</v>
          </cell>
          <cell r="C336" t="str">
            <v>buah</v>
          </cell>
          <cell r="D336">
            <v>29100</v>
          </cell>
          <cell r="E336">
            <v>29100</v>
          </cell>
        </row>
        <row r="337">
          <cell r="B337" t="str">
            <v>Kuas uk. 1"</v>
          </cell>
          <cell r="C337" t="str">
            <v>buah</v>
          </cell>
          <cell r="D337">
            <v>6200</v>
          </cell>
          <cell r="E337">
            <v>6200</v>
          </cell>
        </row>
        <row r="338">
          <cell r="B338" t="str">
            <v>Kuas uk. 1,5"</v>
          </cell>
          <cell r="C338" t="str">
            <v>buah</v>
          </cell>
          <cell r="D338">
            <v>7900</v>
          </cell>
          <cell r="E338">
            <v>7900</v>
          </cell>
        </row>
        <row r="339">
          <cell r="B339" t="str">
            <v>Kuas uk. 3"</v>
          </cell>
          <cell r="C339" t="str">
            <v>buah</v>
          </cell>
          <cell r="D339">
            <v>13200</v>
          </cell>
          <cell r="E339">
            <v>13200</v>
          </cell>
        </row>
        <row r="340">
          <cell r="B340" t="str">
            <v>Kunci jendela (lokal)</v>
          </cell>
          <cell r="C340" t="str">
            <v>set</v>
          </cell>
          <cell r="D340">
            <v>26500</v>
          </cell>
          <cell r="E340">
            <v>26500</v>
          </cell>
        </row>
        <row r="341">
          <cell r="B341" t="str">
            <v>Kunci lemari</v>
          </cell>
          <cell r="C341" t="str">
            <v>buah</v>
          </cell>
          <cell r="D341">
            <v>40600</v>
          </cell>
          <cell r="E341">
            <v>40600</v>
          </cell>
        </row>
        <row r="342">
          <cell r="B342" t="str">
            <v>Kunci pintu (biasa)</v>
          </cell>
          <cell r="C342" t="str">
            <v>set</v>
          </cell>
          <cell r="D342">
            <v>150000</v>
          </cell>
          <cell r="E342">
            <v>150000</v>
          </cell>
        </row>
        <row r="343">
          <cell r="B343" t="str">
            <v>Kunci pintu (istimewa)</v>
          </cell>
          <cell r="C343" t="str">
            <v>set</v>
          </cell>
          <cell r="D343">
            <v>238300</v>
          </cell>
          <cell r="E343">
            <v>238300</v>
          </cell>
        </row>
        <row r="344">
          <cell r="B344" t="str">
            <v>Kunci pintu untuk meubelair (furniture)</v>
          </cell>
          <cell r="C344" t="str">
            <v>set</v>
          </cell>
          <cell r="D344">
            <v>40600</v>
          </cell>
          <cell r="E344">
            <v>40600</v>
          </cell>
        </row>
        <row r="345">
          <cell r="B345" t="str">
            <v>Kunci silinder</v>
          </cell>
          <cell r="C345" t="str">
            <v>buah</v>
          </cell>
          <cell r="D345">
            <v>184400</v>
          </cell>
          <cell r="E345">
            <v>184400</v>
          </cell>
        </row>
        <row r="346">
          <cell r="B346" t="str">
            <v>Kunci tanam</v>
          </cell>
          <cell r="C346" t="str">
            <v>buah</v>
          </cell>
          <cell r="D346">
            <v>132400</v>
          </cell>
          <cell r="E346">
            <v>132400</v>
          </cell>
        </row>
        <row r="347">
          <cell r="B347" t="str">
            <v>Kunci tanam antik</v>
          </cell>
          <cell r="C347" t="str">
            <v>buah</v>
          </cell>
          <cell r="D347">
            <v>150000</v>
          </cell>
          <cell r="E347">
            <v>150000</v>
          </cell>
        </row>
        <row r="348">
          <cell r="B348" t="str">
            <v>Kunci tanam kamar mandi</v>
          </cell>
          <cell r="C348" t="str">
            <v>buah</v>
          </cell>
          <cell r="D348">
            <v>63500</v>
          </cell>
          <cell r="E348">
            <v>63500</v>
          </cell>
        </row>
        <row r="349">
          <cell r="B349" t="str">
            <v>Kunci gembok</v>
          </cell>
          <cell r="C349" t="str">
            <v>bh</v>
          </cell>
          <cell r="D349">
            <v>18427.5</v>
          </cell>
          <cell r="E349">
            <v>18427.5</v>
          </cell>
        </row>
        <row r="350">
          <cell r="B350" t="str">
            <v>Kunci tanam besar merk "693LD"</v>
          </cell>
          <cell r="C350" t="str">
            <v>set</v>
          </cell>
          <cell r="D350">
            <v>69195</v>
          </cell>
          <cell r="E350">
            <v>69195</v>
          </cell>
        </row>
        <row r="351">
          <cell r="B351" t="str">
            <v>Kunci tanam kecil merk "693LD"</v>
          </cell>
          <cell r="C351" t="str">
            <v>set</v>
          </cell>
          <cell r="D351">
            <v>53550</v>
          </cell>
          <cell r="E351">
            <v>53550</v>
          </cell>
        </row>
        <row r="352">
          <cell r="B352" t="str">
            <v>Kunci tanam besar merk "ROYAL"</v>
          </cell>
          <cell r="C352" t="str">
            <v>set</v>
          </cell>
          <cell r="D352">
            <v>105210</v>
          </cell>
          <cell r="E352">
            <v>105210</v>
          </cell>
        </row>
        <row r="353">
          <cell r="B353" t="str">
            <v>Kunci tanam kecil merk "ROYAL"</v>
          </cell>
          <cell r="C353" t="str">
            <v>set</v>
          </cell>
          <cell r="D353">
            <v>75600</v>
          </cell>
          <cell r="E353">
            <v>75600</v>
          </cell>
        </row>
        <row r="354">
          <cell r="B354" t="str">
            <v>Kusen alumunium</v>
          </cell>
          <cell r="C354" t="str">
            <v>m'</v>
          </cell>
          <cell r="D354">
            <v>133358.39999999999</v>
          </cell>
          <cell r="E354">
            <v>133358.39999999999</v>
          </cell>
        </row>
        <row r="355">
          <cell r="D355">
            <v>0</v>
          </cell>
        </row>
        <row r="356">
          <cell r="B356" t="str">
            <v>Kusen pintu / jendela alumunium 3"</v>
          </cell>
          <cell r="C356" t="str">
            <v>m²</v>
          </cell>
          <cell r="D356">
            <v>612100</v>
          </cell>
          <cell r="E356">
            <v>612100</v>
          </cell>
        </row>
        <row r="357">
          <cell r="B357" t="str">
            <v>Kusen pintu / jendela alumunium 4"</v>
          </cell>
          <cell r="C357" t="str">
            <v>m²</v>
          </cell>
          <cell r="D357">
            <v>759700</v>
          </cell>
          <cell r="E357">
            <v>759700</v>
          </cell>
        </row>
        <row r="358">
          <cell r="B358" t="str">
            <v>Lampu downlight SL 25 Watt</v>
          </cell>
          <cell r="C358" t="str">
            <v>buah</v>
          </cell>
          <cell r="D358">
            <v>234800</v>
          </cell>
          <cell r="E358">
            <v>234800</v>
          </cell>
        </row>
        <row r="359">
          <cell r="B359" t="str">
            <v>Lampu taman + tiang + merkuri</v>
          </cell>
          <cell r="C359" t="str">
            <v>buah</v>
          </cell>
          <cell r="D359">
            <v>234800</v>
          </cell>
          <cell r="E359">
            <v>234800</v>
          </cell>
        </row>
        <row r="360">
          <cell r="B360" t="str">
            <v>Lampu taman bulat komplit</v>
          </cell>
          <cell r="C360" t="str">
            <v>set</v>
          </cell>
          <cell r="D360">
            <v>264500</v>
          </cell>
          <cell r="E360">
            <v>264500</v>
          </cell>
        </row>
        <row r="361">
          <cell r="B361" t="str">
            <v>Lampu TL 20 W + aksesoris</v>
          </cell>
          <cell r="C361" t="str">
            <v>titik</v>
          </cell>
          <cell r="D361">
            <v>79394.92</v>
          </cell>
          <cell r="E361">
            <v>79394.92</v>
          </cell>
        </row>
        <row r="362">
          <cell r="B362" t="str">
            <v>Lampu TL 40 W + aksesoris</v>
          </cell>
          <cell r="C362" t="str">
            <v>titik</v>
          </cell>
          <cell r="D362">
            <v>113300</v>
          </cell>
          <cell r="E362">
            <v>113300</v>
          </cell>
        </row>
        <row r="363">
          <cell r="B363" t="str">
            <v>Lampu TL bulat 10 W + aksesoris</v>
          </cell>
          <cell r="C363" t="str">
            <v>titik</v>
          </cell>
          <cell r="D363">
            <v>87800</v>
          </cell>
          <cell r="E363">
            <v>87800</v>
          </cell>
        </row>
        <row r="364">
          <cell r="B364" t="str">
            <v>Lampu TL bulat 20 W + aksesoris</v>
          </cell>
          <cell r="C364" t="str">
            <v>titik</v>
          </cell>
          <cell r="D364">
            <v>118600</v>
          </cell>
          <cell r="E364">
            <v>118600</v>
          </cell>
        </row>
        <row r="365">
          <cell r="B365" t="str">
            <v>Langit-langit Accoustic board / tile uk. 0,30 x 0,30 (m)</v>
          </cell>
          <cell r="C365" t="str">
            <v>m²</v>
          </cell>
          <cell r="D365">
            <v>68800</v>
          </cell>
          <cell r="E365">
            <v>68800</v>
          </cell>
        </row>
        <row r="366">
          <cell r="B366" t="str">
            <v>Langit-langit Accoustic board / tile uk. 0,30 x 0,60 (m)</v>
          </cell>
          <cell r="C366" t="str">
            <v>m²</v>
          </cell>
          <cell r="D366">
            <v>70600</v>
          </cell>
          <cell r="E366">
            <v>70600</v>
          </cell>
        </row>
        <row r="367">
          <cell r="B367" t="str">
            <v>Langit-langit Accoustic board / tile uk. 0,60 x 1,20 x 0,14 (m)</v>
          </cell>
          <cell r="C367" t="str">
            <v>m²</v>
          </cell>
          <cell r="D367">
            <v>86500</v>
          </cell>
          <cell r="E367">
            <v>86500</v>
          </cell>
        </row>
        <row r="368">
          <cell r="B368" t="str">
            <v>Langit-langit Accoustic board / tile uk. 0,60 x 1,20 x 0,15 (m)</v>
          </cell>
          <cell r="C368" t="str">
            <v>m²</v>
          </cell>
          <cell r="D368">
            <v>98800</v>
          </cell>
          <cell r="E368">
            <v>98800</v>
          </cell>
        </row>
        <row r="369">
          <cell r="B369" t="str">
            <v>Lis kayu profil uk. 3 x 3 cm</v>
          </cell>
          <cell r="C369" t="str">
            <v>m'</v>
          </cell>
          <cell r="D369">
            <v>23310</v>
          </cell>
          <cell r="E369">
            <v>23310</v>
          </cell>
        </row>
        <row r="370">
          <cell r="B370" t="str">
            <v>Lis kayu biasa uk. 0,75 x 2 cm</v>
          </cell>
          <cell r="C370" t="str">
            <v>m'</v>
          </cell>
          <cell r="D370">
            <v>11340</v>
          </cell>
          <cell r="E370">
            <v>11340</v>
          </cell>
        </row>
        <row r="371">
          <cell r="B371" t="str">
            <v>Lem (standar Aica Aibond)</v>
          </cell>
          <cell r="C371" t="str">
            <v>kg</v>
          </cell>
          <cell r="D371">
            <v>29000</v>
          </cell>
          <cell r="E371">
            <v>29000</v>
          </cell>
        </row>
        <row r="372">
          <cell r="B372" t="str">
            <v>Lem (standar Fox)</v>
          </cell>
          <cell r="C372" t="str">
            <v>kg</v>
          </cell>
          <cell r="D372">
            <v>31500</v>
          </cell>
          <cell r="E372">
            <v>31500</v>
          </cell>
        </row>
        <row r="373">
          <cell r="B373" t="str">
            <v>Lem PVC ultra kecil</v>
          </cell>
          <cell r="C373" t="str">
            <v>klg</v>
          </cell>
          <cell r="D373">
            <v>6300</v>
          </cell>
          <cell r="E373">
            <v>6300</v>
          </cell>
        </row>
        <row r="374">
          <cell r="B374" t="str">
            <v>Mata lampu + instalasi</v>
          </cell>
          <cell r="C374" t="str">
            <v>titik</v>
          </cell>
          <cell r="D374">
            <v>52300</v>
          </cell>
          <cell r="E374">
            <v>52300</v>
          </cell>
        </row>
        <row r="375">
          <cell r="B375" t="str">
            <v>Meter box (terpasang)</v>
          </cell>
          <cell r="C375" t="str">
            <v>titik</v>
          </cell>
          <cell r="D375">
            <v>389400</v>
          </cell>
          <cell r="E375">
            <v>389400</v>
          </cell>
        </row>
        <row r="376">
          <cell r="B376" t="str">
            <v>Minyak bekisting</v>
          </cell>
          <cell r="C376" t="str">
            <v>liter</v>
          </cell>
          <cell r="D376">
            <v>9700</v>
          </cell>
          <cell r="E376">
            <v>9700</v>
          </cell>
        </row>
        <row r="377">
          <cell r="B377" t="str">
            <v>Minyak pelarut cat (solvent)</v>
          </cell>
          <cell r="C377" t="str">
            <v>liter</v>
          </cell>
          <cell r="D377">
            <v>28900</v>
          </cell>
          <cell r="E377">
            <v>28900</v>
          </cell>
        </row>
        <row r="378">
          <cell r="B378" t="str">
            <v>Minyak pelumas (oli)</v>
          </cell>
          <cell r="C378" t="str">
            <v>liter</v>
          </cell>
          <cell r="D378">
            <v>22050</v>
          </cell>
          <cell r="E378">
            <v>22050</v>
          </cell>
        </row>
        <row r="379">
          <cell r="B379" t="str">
            <v>Minyak solar</v>
          </cell>
          <cell r="C379" t="str">
            <v>liter</v>
          </cell>
          <cell r="D379">
            <v>6655.32</v>
          </cell>
          <cell r="E379">
            <v>6655.32</v>
          </cell>
        </row>
        <row r="380">
          <cell r="B380" t="str">
            <v>Minyak tanah (industri)</v>
          </cell>
          <cell r="C380" t="str">
            <v>liter</v>
          </cell>
          <cell r="D380">
            <v>11500</v>
          </cell>
          <cell r="E380">
            <v>11500</v>
          </cell>
        </row>
        <row r="381">
          <cell r="B381" t="str">
            <v>Multiplek tebal 12 mm 4 x 8 (inch)</v>
          </cell>
          <cell r="C381" t="str">
            <v>lembar</v>
          </cell>
          <cell r="D381">
            <v>292100</v>
          </cell>
          <cell r="E381">
            <v>292100</v>
          </cell>
        </row>
        <row r="382">
          <cell r="B382" t="str">
            <v>Multiplek tebal 15 mm 4 x 8 (inch)</v>
          </cell>
          <cell r="C382" t="str">
            <v>lembar</v>
          </cell>
          <cell r="D382">
            <v>361100</v>
          </cell>
          <cell r="E382">
            <v>361100</v>
          </cell>
        </row>
        <row r="383">
          <cell r="B383" t="str">
            <v>Multiplek tebal 18 mm 4 x 8 (inch)</v>
          </cell>
          <cell r="C383" t="str">
            <v>lembar</v>
          </cell>
          <cell r="D383">
            <v>407200</v>
          </cell>
          <cell r="E383">
            <v>407200</v>
          </cell>
        </row>
        <row r="384">
          <cell r="B384" t="str">
            <v>Multiplek tebal 6 mm uk. 1.22 x 2.44 (m)</v>
          </cell>
          <cell r="C384" t="str">
            <v>lembar</v>
          </cell>
          <cell r="D384">
            <v>142100</v>
          </cell>
          <cell r="E384">
            <v>142100</v>
          </cell>
        </row>
        <row r="385">
          <cell r="B385" t="str">
            <v>Multiplek tebal 9 mm 4 x 8 (inch)</v>
          </cell>
          <cell r="C385" t="str">
            <v>lembar</v>
          </cell>
          <cell r="D385">
            <v>213200</v>
          </cell>
          <cell r="E385">
            <v>213200</v>
          </cell>
        </row>
        <row r="386">
          <cell r="B386" t="str">
            <v>Melamin uk. ( 4' x 8' )</v>
          </cell>
          <cell r="C386" t="str">
            <v>m2</v>
          </cell>
          <cell r="D386">
            <v>996320</v>
          </cell>
          <cell r="E386">
            <v>996320</v>
          </cell>
        </row>
        <row r="387">
          <cell r="B387" t="str">
            <v>Paku</v>
          </cell>
          <cell r="C387" t="str">
            <v>kg</v>
          </cell>
          <cell r="D387">
            <v>19358.18</v>
          </cell>
          <cell r="E387">
            <v>19358.18</v>
          </cell>
        </row>
        <row r="388">
          <cell r="B388" t="str">
            <v>Paku anti Karat</v>
          </cell>
          <cell r="C388" t="str">
            <v>kg</v>
          </cell>
          <cell r="D388">
            <v>37900</v>
          </cell>
          <cell r="E388">
            <v>37900</v>
          </cell>
        </row>
        <row r="389">
          <cell r="B389" t="str">
            <v>Paku asbes</v>
          </cell>
          <cell r="C389" t="str">
            <v>kg</v>
          </cell>
          <cell r="D389">
            <v>30900</v>
          </cell>
          <cell r="E389">
            <v>30900</v>
          </cell>
        </row>
        <row r="390">
          <cell r="B390" t="str">
            <v>Paku ulir asbes</v>
          </cell>
          <cell r="C390" t="str">
            <v>kg</v>
          </cell>
          <cell r="D390">
            <v>31270.91</v>
          </cell>
          <cell r="E390">
            <v>31270.91</v>
          </cell>
        </row>
        <row r="391">
          <cell r="B391" t="str">
            <v>Paku berbagai ukuran (1/2" - 1")</v>
          </cell>
          <cell r="C391" t="str">
            <v>kg</v>
          </cell>
          <cell r="D391">
            <v>28200</v>
          </cell>
          <cell r="E391">
            <v>28200</v>
          </cell>
        </row>
        <row r="392">
          <cell r="B392" t="str">
            <v>Paku berbagai ukuran (2" - 5")</v>
          </cell>
          <cell r="C392" t="str">
            <v>kg</v>
          </cell>
          <cell r="D392">
            <v>33500</v>
          </cell>
          <cell r="E392">
            <v>33500</v>
          </cell>
        </row>
        <row r="393">
          <cell r="B393" t="str">
            <v>Paku jembatan</v>
          </cell>
          <cell r="C393" t="str">
            <v>kg</v>
          </cell>
          <cell r="D393">
            <v>61800</v>
          </cell>
          <cell r="E393">
            <v>61800</v>
          </cell>
        </row>
        <row r="394">
          <cell r="B394" t="str">
            <v>Paku kait</v>
          </cell>
          <cell r="C394" t="str">
            <v>bh</v>
          </cell>
          <cell r="D394">
            <v>1700</v>
          </cell>
          <cell r="E394">
            <v>1700</v>
          </cell>
        </row>
        <row r="395">
          <cell r="B395" t="str">
            <v>Paku sekrup</v>
          </cell>
          <cell r="C395" t="str">
            <v>bh</v>
          </cell>
          <cell r="D395">
            <v>1800</v>
          </cell>
          <cell r="E395">
            <v>1800</v>
          </cell>
        </row>
        <row r="396">
          <cell r="B396" t="str">
            <v>Paku seng</v>
          </cell>
          <cell r="C396" t="str">
            <v>kg</v>
          </cell>
          <cell r="D396">
            <v>27846</v>
          </cell>
          <cell r="E396">
            <v>27846</v>
          </cell>
        </row>
        <row r="397">
          <cell r="B397" t="str">
            <v>Paku tembok</v>
          </cell>
          <cell r="C397" t="str">
            <v>kg</v>
          </cell>
          <cell r="D397">
            <v>26500</v>
          </cell>
          <cell r="E397">
            <v>26500</v>
          </cell>
        </row>
        <row r="398">
          <cell r="B398" t="str">
            <v>Paku Gypsum</v>
          </cell>
          <cell r="C398" t="str">
            <v>kg</v>
          </cell>
          <cell r="D398">
            <v>39585</v>
          </cell>
          <cell r="E398">
            <v>39585</v>
          </cell>
        </row>
        <row r="399">
          <cell r="B399" t="str">
            <v>Panel listrik / MCB, 1 group / fase</v>
          </cell>
          <cell r="C399" t="str">
            <v>buah</v>
          </cell>
          <cell r="D399">
            <v>101700</v>
          </cell>
          <cell r="E399">
            <v>101700</v>
          </cell>
        </row>
        <row r="400">
          <cell r="B400" t="str">
            <v>Panel listrik / MCB, 2 group / fase</v>
          </cell>
          <cell r="C400" t="str">
            <v>buah</v>
          </cell>
          <cell r="D400">
            <v>130200</v>
          </cell>
          <cell r="E400">
            <v>130200</v>
          </cell>
        </row>
        <row r="401">
          <cell r="B401" t="str">
            <v>Panel listrik / MCB, 3 group / fase</v>
          </cell>
          <cell r="C401" t="str">
            <v>buah</v>
          </cell>
          <cell r="D401">
            <v>133700</v>
          </cell>
          <cell r="E401">
            <v>133700</v>
          </cell>
        </row>
        <row r="402">
          <cell r="B402" t="str">
            <v>Panel listrik / MCB, 4 group / fase</v>
          </cell>
          <cell r="C402" t="str">
            <v>buah</v>
          </cell>
          <cell r="D402">
            <v>180200</v>
          </cell>
          <cell r="E402">
            <v>180200</v>
          </cell>
        </row>
        <row r="403">
          <cell r="B403" t="str">
            <v>Parquette lantai</v>
          </cell>
          <cell r="C403" t="str">
            <v>m²</v>
          </cell>
          <cell r="D403">
            <v>150000</v>
          </cell>
          <cell r="E403">
            <v>150000</v>
          </cell>
        </row>
        <row r="404">
          <cell r="B404" t="str">
            <v>Pasir ayak untuk beton</v>
          </cell>
          <cell r="C404" t="str">
            <v>m³</v>
          </cell>
          <cell r="D404">
            <v>132400</v>
          </cell>
          <cell r="E404">
            <v>132400</v>
          </cell>
        </row>
        <row r="405">
          <cell r="B405" t="str">
            <v>Pasir pasang</v>
          </cell>
          <cell r="C405" t="str">
            <v>m³</v>
          </cell>
          <cell r="D405">
            <v>94900</v>
          </cell>
          <cell r="E405">
            <v>94900</v>
          </cell>
        </row>
        <row r="406">
          <cell r="B406" t="str">
            <v>Pasir urug / timbun</v>
          </cell>
          <cell r="C406" t="str">
            <v>m³</v>
          </cell>
          <cell r="D406">
            <v>91250</v>
          </cell>
          <cell r="E406">
            <v>91250</v>
          </cell>
        </row>
        <row r="407">
          <cell r="B407" t="str">
            <v>Pasir kasar</v>
          </cell>
          <cell r="C407" t="str">
            <v>m3</v>
          </cell>
          <cell r="D407">
            <v>79380</v>
          </cell>
          <cell r="E407">
            <v>79380</v>
          </cell>
        </row>
        <row r="408">
          <cell r="B408" t="str">
            <v>Pegangan pintu/door holder</v>
          </cell>
          <cell r="C408" t="str">
            <v>buah</v>
          </cell>
          <cell r="D408">
            <v>88300</v>
          </cell>
          <cell r="E408">
            <v>88300</v>
          </cell>
        </row>
        <row r="409">
          <cell r="B409" t="str">
            <v>Pembersih / cleaner untuk keramik / porcelaint</v>
          </cell>
          <cell r="C409" t="str">
            <v>kg</v>
          </cell>
          <cell r="D409">
            <v>900</v>
          </cell>
          <cell r="E409">
            <v>900</v>
          </cell>
        </row>
        <row r="410">
          <cell r="B410" t="str">
            <v xml:space="preserve">Pintu alumunium - swing + door closer </v>
          </cell>
          <cell r="C410" t="str">
            <v>unit</v>
          </cell>
          <cell r="D410">
            <v>2356300</v>
          </cell>
          <cell r="E410">
            <v>2356300</v>
          </cell>
        </row>
        <row r="411">
          <cell r="B411" t="str">
            <v>Pintu alumunium - swing + floorhinge</v>
          </cell>
          <cell r="C411" t="str">
            <v>unit</v>
          </cell>
          <cell r="D411">
            <v>3549400</v>
          </cell>
          <cell r="E411">
            <v>3549400</v>
          </cell>
        </row>
        <row r="412">
          <cell r="B412" t="str">
            <v xml:space="preserve">Pintu besi </v>
          </cell>
          <cell r="C412" t="str">
            <v>m²</v>
          </cell>
          <cell r="D412">
            <v>529500</v>
          </cell>
          <cell r="E412">
            <v>529500</v>
          </cell>
        </row>
        <row r="413">
          <cell r="B413" t="str">
            <v>Pintu besi lipat</v>
          </cell>
          <cell r="C413" t="str">
            <v>m²</v>
          </cell>
          <cell r="D413">
            <v>882500</v>
          </cell>
          <cell r="E413">
            <v>882500</v>
          </cell>
        </row>
        <row r="414">
          <cell r="B414" t="str">
            <v>Pipa besi hitam Medium dia "1 x 6 m</v>
          </cell>
          <cell r="C414" t="str">
            <v>m'</v>
          </cell>
          <cell r="D414">
            <v>23059.89</v>
          </cell>
          <cell r="E414">
            <v>23059.89</v>
          </cell>
        </row>
        <row r="415">
          <cell r="B415" t="str">
            <v>Pipa besi hitam Medium dia "2 x 6 m</v>
          </cell>
          <cell r="C415" t="str">
            <v>m'</v>
          </cell>
          <cell r="D415">
            <v>28005.18</v>
          </cell>
          <cell r="E415">
            <v>28005.18</v>
          </cell>
        </row>
        <row r="416">
          <cell r="B416" t="str">
            <v>Piap besi hitam Medium dia "3 x 6 m</v>
          </cell>
          <cell r="C416" t="str">
            <v>m'</v>
          </cell>
          <cell r="D416">
            <v>69235.320000000007</v>
          </cell>
          <cell r="E416">
            <v>69235.320000000007</v>
          </cell>
        </row>
        <row r="417">
          <cell r="B417" t="str">
            <v>Pipa besi hitam S 11 dia 4" x 6 m</v>
          </cell>
          <cell r="C417" t="str">
            <v>m'</v>
          </cell>
          <cell r="D417">
            <v>69235.320000000007</v>
          </cell>
          <cell r="E417">
            <v>69235.320000000007</v>
          </cell>
        </row>
        <row r="418">
          <cell r="B418" t="str">
            <v>Pipa Gip dia 100 mm</v>
          </cell>
          <cell r="C418" t="str">
            <v>m'</v>
          </cell>
          <cell r="D418">
            <v>43995</v>
          </cell>
          <cell r="E418">
            <v>43995</v>
          </cell>
        </row>
        <row r="419">
          <cell r="B419" t="str">
            <v>Pipa Gip dia 150 mm</v>
          </cell>
          <cell r="C419" t="str">
            <v>m'</v>
          </cell>
          <cell r="D419">
            <v>54138</v>
          </cell>
          <cell r="E419">
            <v>54138</v>
          </cell>
        </row>
        <row r="420">
          <cell r="B420" t="str">
            <v>Pipa Gip dia 200 mm</v>
          </cell>
          <cell r="C420" t="str">
            <v>m'</v>
          </cell>
          <cell r="D420">
            <v>77742</v>
          </cell>
          <cell r="E420">
            <v>77742</v>
          </cell>
        </row>
        <row r="421">
          <cell r="B421" t="str">
            <v>Pipa Gip Dia 50 mm</v>
          </cell>
          <cell r="C421" t="str">
            <v>m'</v>
          </cell>
          <cell r="D421">
            <v>6779.01</v>
          </cell>
          <cell r="E421">
            <v>6779.01</v>
          </cell>
        </row>
        <row r="422">
          <cell r="B422" t="str">
            <v>Pipa besi galvanis ø 0,5 (inch)</v>
          </cell>
          <cell r="C422" t="str">
            <v>m'</v>
          </cell>
          <cell r="D422">
            <v>32700</v>
          </cell>
          <cell r="E422">
            <v>32700</v>
          </cell>
        </row>
        <row r="423">
          <cell r="B423" t="str">
            <v>Pipa besi galvanis ø 0,75 (inch)</v>
          </cell>
          <cell r="C423" t="str">
            <v>m'</v>
          </cell>
          <cell r="D423">
            <v>42400</v>
          </cell>
          <cell r="E423">
            <v>42400</v>
          </cell>
        </row>
        <row r="424">
          <cell r="B424" t="str">
            <v>Pipa besi galvanis ø 1 (inch)</v>
          </cell>
          <cell r="C424" t="str">
            <v>m'</v>
          </cell>
          <cell r="D424">
            <v>65700</v>
          </cell>
          <cell r="E424">
            <v>65700</v>
          </cell>
        </row>
        <row r="425">
          <cell r="B425" t="str">
            <v>Pipa besi galvanis ø 1,25 (inch)</v>
          </cell>
          <cell r="C425" t="str">
            <v>m'</v>
          </cell>
          <cell r="D425">
            <v>84700</v>
          </cell>
          <cell r="E425">
            <v>84700</v>
          </cell>
        </row>
        <row r="426">
          <cell r="B426" t="str">
            <v>Pipa besi galvanis ø 1,5 (inch)</v>
          </cell>
          <cell r="C426" t="str">
            <v>m'</v>
          </cell>
          <cell r="D426">
            <v>98000</v>
          </cell>
          <cell r="E426">
            <v>98000</v>
          </cell>
        </row>
        <row r="427">
          <cell r="B427" t="str">
            <v>Pipa besi galvanis ø 2 (inch)</v>
          </cell>
          <cell r="C427" t="str">
            <v>m'</v>
          </cell>
          <cell r="D427">
            <v>134600</v>
          </cell>
          <cell r="E427">
            <v>134600</v>
          </cell>
        </row>
        <row r="428">
          <cell r="B428" t="str">
            <v>Pipa besi galvanis ø 4 (inch)</v>
          </cell>
          <cell r="C428" t="str">
            <v>m'</v>
          </cell>
          <cell r="D428">
            <v>413900</v>
          </cell>
          <cell r="E428">
            <v>413900</v>
          </cell>
        </row>
        <row r="429">
          <cell r="B429" t="str">
            <v>Pipa beton ø 20 cm, panjang 1 m'</v>
          </cell>
          <cell r="C429" t="str">
            <v>buah</v>
          </cell>
          <cell r="D429">
            <v>141200</v>
          </cell>
          <cell r="E429">
            <v>141200</v>
          </cell>
        </row>
        <row r="430">
          <cell r="B430" t="str">
            <v>Pipa beton ø 60 cm, panjang 1 m'</v>
          </cell>
          <cell r="C430" t="str">
            <v>buah</v>
          </cell>
          <cell r="D430">
            <v>232100</v>
          </cell>
          <cell r="E430">
            <v>232100</v>
          </cell>
        </row>
        <row r="431">
          <cell r="B431" t="str">
            <v>Pipa PVC RR dia 100 mm</v>
          </cell>
          <cell r="C431" t="str">
            <v>m'</v>
          </cell>
          <cell r="D431">
            <v>38507.18</v>
          </cell>
          <cell r="E431">
            <v>38507.18</v>
          </cell>
        </row>
        <row r="432">
          <cell r="B432" t="str">
            <v>Pipa PVC RR dia 150 mm</v>
          </cell>
          <cell r="C432" t="str">
            <v>m'</v>
          </cell>
          <cell r="D432">
            <v>62178.48</v>
          </cell>
          <cell r="E432">
            <v>62178.48</v>
          </cell>
        </row>
        <row r="433">
          <cell r="B433" t="str">
            <v>Pipa PVC RR dia 200 mm</v>
          </cell>
          <cell r="C433" t="str">
            <v>m'</v>
          </cell>
          <cell r="D433">
            <v>181450.71</v>
          </cell>
          <cell r="E433">
            <v>181450.71</v>
          </cell>
        </row>
        <row r="434">
          <cell r="B434" t="str">
            <v>Pipa PVC RR dia 50 mm</v>
          </cell>
          <cell r="C434" t="str">
            <v>m'</v>
          </cell>
          <cell r="D434">
            <v>10168.52</v>
          </cell>
          <cell r="E434">
            <v>10168.52</v>
          </cell>
        </row>
        <row r="435">
          <cell r="B435" t="str">
            <v>Pipa PVC RR dia 75 mm</v>
          </cell>
          <cell r="C435" t="str">
            <v>m'</v>
          </cell>
          <cell r="D435">
            <v>24462.9</v>
          </cell>
          <cell r="E435">
            <v>24462.9</v>
          </cell>
        </row>
        <row r="436">
          <cell r="B436" t="str">
            <v>Pipa PVC Wavin dia 1" x 4 m</v>
          </cell>
          <cell r="C436" t="str">
            <v>m'</v>
          </cell>
          <cell r="D436">
            <v>7969.5</v>
          </cell>
          <cell r="E436">
            <v>7969.5</v>
          </cell>
        </row>
        <row r="437">
          <cell r="B437" t="str">
            <v>Pipa PVC Wavin dia 2" x 4 m</v>
          </cell>
          <cell r="C437" t="str">
            <v>m'</v>
          </cell>
          <cell r="D437">
            <v>16537.5</v>
          </cell>
          <cell r="E437">
            <v>16537.5</v>
          </cell>
        </row>
        <row r="438">
          <cell r="B438" t="str">
            <v>Pipa PVC Wavin dia 3" x 4 m</v>
          </cell>
          <cell r="C438" t="str">
            <v>m'</v>
          </cell>
          <cell r="D438">
            <v>30712.5</v>
          </cell>
          <cell r="E438">
            <v>30712.5</v>
          </cell>
        </row>
        <row r="439">
          <cell r="B439" t="str">
            <v>Pipa PVC Wavin Lucky LG dia 4" x 4 m</v>
          </cell>
          <cell r="C439" t="str">
            <v>m'</v>
          </cell>
          <cell r="D439">
            <v>46068.75</v>
          </cell>
          <cell r="E439">
            <v>46068.75</v>
          </cell>
        </row>
        <row r="440">
          <cell r="B440" t="str">
            <v>Pipa PVC ø 1(inch) AW, panjang 4 m</v>
          </cell>
          <cell r="C440" t="str">
            <v>m'</v>
          </cell>
          <cell r="D440">
            <v>12700</v>
          </cell>
          <cell r="E440">
            <v>12700</v>
          </cell>
        </row>
        <row r="441">
          <cell r="B441" t="str">
            <v>Pipa PVC ø 1,5 (inch) AW, panjang 4 m</v>
          </cell>
          <cell r="C441" t="str">
            <v>m'</v>
          </cell>
          <cell r="D441">
            <v>22100</v>
          </cell>
          <cell r="E441">
            <v>22100</v>
          </cell>
        </row>
        <row r="442">
          <cell r="B442" t="str">
            <v xml:space="preserve">Pipa PVC ø 1/2 (inch) AW, panjang 4 m </v>
          </cell>
          <cell r="C442" t="str">
            <v>m'</v>
          </cell>
          <cell r="D442">
            <v>7200</v>
          </cell>
          <cell r="E442">
            <v>7200</v>
          </cell>
        </row>
        <row r="443">
          <cell r="B443" t="str">
            <v>Pipa PVC ø 3 (inch) AW, panjang 4 m</v>
          </cell>
          <cell r="C443" t="str">
            <v>m'</v>
          </cell>
          <cell r="D443">
            <v>56500</v>
          </cell>
          <cell r="E443">
            <v>56500</v>
          </cell>
        </row>
        <row r="444">
          <cell r="B444" t="str">
            <v>Pipa PVC ø 3/4 (inch) AW, panjang 4 m</v>
          </cell>
          <cell r="C444" t="str">
            <v>m'</v>
          </cell>
          <cell r="D444">
            <v>9500</v>
          </cell>
          <cell r="E444">
            <v>9500</v>
          </cell>
        </row>
        <row r="445">
          <cell r="B445" t="str">
            <v>Pipa PVC ø 4 - 6 (inch) AW, panjang 4 m</v>
          </cell>
          <cell r="C445" t="str">
            <v>m'</v>
          </cell>
          <cell r="D445">
            <v>92700</v>
          </cell>
          <cell r="E445">
            <v>92700</v>
          </cell>
        </row>
        <row r="446">
          <cell r="B446" t="str">
            <v>Pipa Gip dia 13 mm</v>
          </cell>
          <cell r="C446" t="str">
            <v>m'</v>
          </cell>
          <cell r="D446">
            <v>2833.87</v>
          </cell>
          <cell r="E446">
            <v>2833.87</v>
          </cell>
        </row>
        <row r="447">
          <cell r="B447" t="str">
            <v>Pipa Gip dia 3/4 mm</v>
          </cell>
          <cell r="C447" t="str">
            <v>m;</v>
          </cell>
          <cell r="D447">
            <v>40229.78</v>
          </cell>
          <cell r="E447">
            <v>40229.78</v>
          </cell>
        </row>
        <row r="448">
          <cell r="B448" t="str">
            <v>Plamuer</v>
          </cell>
          <cell r="C448" t="str">
            <v>kg</v>
          </cell>
          <cell r="D448">
            <v>19400</v>
          </cell>
          <cell r="E448">
            <v>19400</v>
          </cell>
        </row>
        <row r="449">
          <cell r="B449" t="str">
            <v>Plint keramik 10 x 15 cm</v>
          </cell>
          <cell r="C449" t="str">
            <v>buah</v>
          </cell>
          <cell r="D449">
            <v>1800</v>
          </cell>
          <cell r="E449">
            <v>1800</v>
          </cell>
        </row>
        <row r="450">
          <cell r="B450" t="str">
            <v>Plint keramik 10 x 20 cm</v>
          </cell>
          <cell r="C450" t="str">
            <v>buah</v>
          </cell>
          <cell r="D450">
            <v>2600</v>
          </cell>
          <cell r="E450">
            <v>2600</v>
          </cell>
        </row>
        <row r="451">
          <cell r="B451" t="str">
            <v>Plint keramik 10 x 40 cm</v>
          </cell>
          <cell r="C451" t="str">
            <v>buah</v>
          </cell>
          <cell r="D451">
            <v>3500</v>
          </cell>
          <cell r="E451">
            <v>3500</v>
          </cell>
        </row>
        <row r="452">
          <cell r="B452" t="str">
            <v>Plint ubin abu-abu 15 x 20 (cm)</v>
          </cell>
          <cell r="C452" t="str">
            <v>buah</v>
          </cell>
          <cell r="D452">
            <v>8300</v>
          </cell>
          <cell r="E452">
            <v>8300</v>
          </cell>
        </row>
        <row r="453">
          <cell r="B453" t="str">
            <v>Plint ubin granito 10 x 30 cm</v>
          </cell>
          <cell r="C453" t="str">
            <v>buah</v>
          </cell>
          <cell r="D453">
            <v>8800</v>
          </cell>
          <cell r="E453">
            <v>8800</v>
          </cell>
        </row>
        <row r="454">
          <cell r="B454" t="str">
            <v>Plint ubin granito 10 x 40 cm</v>
          </cell>
          <cell r="C454" t="str">
            <v>buah</v>
          </cell>
          <cell r="D454">
            <v>10600</v>
          </cell>
          <cell r="E454">
            <v>10600</v>
          </cell>
        </row>
        <row r="455">
          <cell r="B455" t="str">
            <v>Plywood uk. 0,30 x 0,60 (m), tebal 4mm</v>
          </cell>
          <cell r="C455" t="str">
            <v>lembar</v>
          </cell>
          <cell r="D455">
            <v>73200</v>
          </cell>
          <cell r="E455">
            <v>73200</v>
          </cell>
        </row>
        <row r="456">
          <cell r="B456" t="str">
            <v>Plywood uk. 0,30 x 0,60 (m), tebal 6mm</v>
          </cell>
          <cell r="C456" t="str">
            <v>lembar</v>
          </cell>
          <cell r="D456">
            <v>79400</v>
          </cell>
          <cell r="E456">
            <v>79400</v>
          </cell>
        </row>
        <row r="457">
          <cell r="B457" t="str">
            <v>Plywood uk. 0,60 x 1,20 (m), tebal 4mm</v>
          </cell>
          <cell r="C457" t="str">
            <v>lembar</v>
          </cell>
          <cell r="D457">
            <v>77700</v>
          </cell>
          <cell r="E457">
            <v>77700</v>
          </cell>
        </row>
        <row r="458">
          <cell r="B458" t="str">
            <v>Plywood uk. 0,60 x 1,20 (m), tebal 6mm</v>
          </cell>
          <cell r="C458" t="str">
            <v>lembar</v>
          </cell>
          <cell r="D458">
            <v>114700</v>
          </cell>
          <cell r="E458">
            <v>114700</v>
          </cell>
        </row>
        <row r="459">
          <cell r="B459" t="str">
            <v>Plywood uk. 1,22 x 2,44 (m), tebal 4 mm</v>
          </cell>
          <cell r="C459" t="str">
            <v>lembar</v>
          </cell>
          <cell r="D459">
            <v>121800</v>
          </cell>
          <cell r="E459">
            <v>121800</v>
          </cell>
        </row>
        <row r="460">
          <cell r="B460" t="str">
            <v>Plywood uk. 1,22 x 2,44 (m), tebal 9 mm</v>
          </cell>
          <cell r="C460" t="str">
            <v>lembar</v>
          </cell>
          <cell r="D460">
            <v>130600</v>
          </cell>
          <cell r="E460">
            <v>130600</v>
          </cell>
        </row>
        <row r="461">
          <cell r="B461" t="str">
            <v>Politur</v>
          </cell>
          <cell r="C461" t="str">
            <v>liter</v>
          </cell>
          <cell r="D461">
            <v>59700</v>
          </cell>
          <cell r="E461">
            <v>59700</v>
          </cell>
        </row>
        <row r="462">
          <cell r="B462" t="str">
            <v>Politur jadi</v>
          </cell>
          <cell r="C462" t="str">
            <v>liter</v>
          </cell>
          <cell r="D462">
            <v>98300</v>
          </cell>
          <cell r="E462">
            <v>98300</v>
          </cell>
        </row>
        <row r="463">
          <cell r="B463" t="str">
            <v>Porcelaint uk. 11 cm x 11 cm</v>
          </cell>
          <cell r="C463" t="str">
            <v>buah</v>
          </cell>
          <cell r="D463">
            <v>1600</v>
          </cell>
          <cell r="E463">
            <v>1600</v>
          </cell>
        </row>
        <row r="464">
          <cell r="B464" t="str">
            <v>Profil aluminium T</v>
          </cell>
          <cell r="C464" t="str">
            <v>m'</v>
          </cell>
          <cell r="D464">
            <v>45900</v>
          </cell>
          <cell r="E464">
            <v>45900</v>
          </cell>
        </row>
        <row r="465">
          <cell r="B465" t="str">
            <v>Pengadaan Water meter dia 13 mm</v>
          </cell>
          <cell r="C465" t="str">
            <v>unit</v>
          </cell>
          <cell r="D465">
            <v>441000</v>
          </cell>
          <cell r="E465">
            <v>441000</v>
          </cell>
        </row>
        <row r="466">
          <cell r="B466" t="str">
            <v>Railing tangga stainless steel pipa dia. 2" dan 1"</v>
          </cell>
          <cell r="C466" t="str">
            <v>m'</v>
          </cell>
          <cell r="D466">
            <v>1152500</v>
          </cell>
          <cell r="E466">
            <v>1152500</v>
          </cell>
        </row>
        <row r="467">
          <cell r="B467" t="str">
            <v>Rangka / frame accoustic board - cross tee</v>
          </cell>
          <cell r="C467" t="str">
            <v>m'</v>
          </cell>
          <cell r="D467">
            <v>45900</v>
          </cell>
          <cell r="E467">
            <v>45900</v>
          </cell>
        </row>
        <row r="468">
          <cell r="B468" t="str">
            <v>Rangka / frame accoustic board - main tee</v>
          </cell>
          <cell r="C468" t="str">
            <v>m'</v>
          </cell>
          <cell r="D468">
            <v>55600</v>
          </cell>
          <cell r="E468">
            <v>55600</v>
          </cell>
        </row>
        <row r="469">
          <cell r="B469" t="str">
            <v>Rangka / frame accoustic board - rod / adjustable dia. 4 mm</v>
          </cell>
          <cell r="C469" t="str">
            <v>m'</v>
          </cell>
          <cell r="D469">
            <v>26500</v>
          </cell>
          <cell r="E469">
            <v>26500</v>
          </cell>
        </row>
        <row r="470">
          <cell r="B470" t="str">
            <v>Rangka / frame accoustic board - wall angle</v>
          </cell>
          <cell r="C470" t="str">
            <v>m'</v>
          </cell>
          <cell r="D470">
            <v>61800</v>
          </cell>
          <cell r="E470">
            <v>61800</v>
          </cell>
        </row>
        <row r="471">
          <cell r="B471" t="str">
            <v>Rangka atap baja ringan type limas</v>
          </cell>
          <cell r="C471" t="str">
            <v>m²</v>
          </cell>
          <cell r="D471">
            <v>349500</v>
          </cell>
          <cell r="E471">
            <v>349500</v>
          </cell>
        </row>
        <row r="472">
          <cell r="B472" t="str">
            <v>Rangka atap baja ringan type pelana</v>
          </cell>
          <cell r="C472" t="str">
            <v>m²</v>
          </cell>
          <cell r="D472">
            <v>325600</v>
          </cell>
          <cell r="E472">
            <v>325600</v>
          </cell>
        </row>
        <row r="473">
          <cell r="B473" t="str">
            <v>Rapidrant</v>
          </cell>
          <cell r="C473" t="str">
            <v>kg</v>
          </cell>
          <cell r="D473">
            <v>3400</v>
          </cell>
          <cell r="E473">
            <v>3400</v>
          </cell>
        </row>
        <row r="474">
          <cell r="B474" t="str">
            <v>Reducer PVC dari 1/2 (inch) ke 1 (inch)</v>
          </cell>
          <cell r="C474" t="str">
            <v>buah</v>
          </cell>
          <cell r="D474">
            <v>10100</v>
          </cell>
          <cell r="E474">
            <v>10100</v>
          </cell>
        </row>
        <row r="475">
          <cell r="B475" t="str">
            <v>Reducer PVC dari 1/2 (inch) ke 3/4 (inch)</v>
          </cell>
          <cell r="C475" t="str">
            <v>buah</v>
          </cell>
          <cell r="D475">
            <v>14000</v>
          </cell>
          <cell r="E475">
            <v>14000</v>
          </cell>
        </row>
        <row r="476">
          <cell r="B476" t="str">
            <v>Reducer PVC dari 3/4 (inch) ke 1 (inch)</v>
          </cell>
          <cell r="C476" t="str">
            <v>buah</v>
          </cell>
          <cell r="D476">
            <v>12100</v>
          </cell>
          <cell r="E476">
            <v>12100</v>
          </cell>
        </row>
        <row r="477">
          <cell r="B477" t="str">
            <v>Reducer C1 dia 200 mm x80 mm</v>
          </cell>
          <cell r="C477" t="str">
            <v>unit</v>
          </cell>
          <cell r="D477">
            <v>821737.79</v>
          </cell>
          <cell r="E477">
            <v>821737.79</v>
          </cell>
        </row>
        <row r="478">
          <cell r="B478" t="str">
            <v>Reducer PVC 150 x 100</v>
          </cell>
          <cell r="C478" t="str">
            <v>unit</v>
          </cell>
          <cell r="D478">
            <v>1330085.01</v>
          </cell>
          <cell r="E478">
            <v>1330085.01</v>
          </cell>
        </row>
        <row r="479">
          <cell r="B479" t="str">
            <v>Reducer Pvc 200 x 150</v>
          </cell>
          <cell r="C479" t="str">
            <v>unit</v>
          </cell>
          <cell r="D479">
            <v>1450942.73</v>
          </cell>
          <cell r="E479">
            <v>1450942.73</v>
          </cell>
        </row>
        <row r="480">
          <cell r="B480" t="str">
            <v>Rel pintu dorong</v>
          </cell>
          <cell r="C480" t="str">
            <v>buah</v>
          </cell>
          <cell r="D480">
            <v>220600</v>
          </cell>
          <cell r="E480">
            <v>220600</v>
          </cell>
        </row>
        <row r="481">
          <cell r="B481" t="str">
            <v>Residu</v>
          </cell>
          <cell r="C481" t="str">
            <v>liter</v>
          </cell>
          <cell r="D481">
            <v>18500</v>
          </cell>
          <cell r="E481">
            <v>18500</v>
          </cell>
        </row>
        <row r="482">
          <cell r="B482" t="str">
            <v>Rolling door</v>
          </cell>
          <cell r="C482" t="str">
            <v>m2</v>
          </cell>
          <cell r="D482">
            <v>463137.05</v>
          </cell>
          <cell r="E482">
            <v>463137.05</v>
          </cell>
        </row>
        <row r="483">
          <cell r="B483" t="str">
            <v>Rolling dor - alumunium tebal</v>
          </cell>
          <cell r="C483" t="str">
            <v>m²</v>
          </cell>
          <cell r="D483">
            <v>503000</v>
          </cell>
          <cell r="E483">
            <v>503000</v>
          </cell>
        </row>
        <row r="484">
          <cell r="B484" t="str">
            <v>Rolling dor - alumunium tipis</v>
          </cell>
          <cell r="C484" t="str">
            <v>m²</v>
          </cell>
          <cell r="D484">
            <v>414800</v>
          </cell>
          <cell r="E484">
            <v>414800</v>
          </cell>
        </row>
        <row r="485">
          <cell r="B485" t="str">
            <v>Rooflight fibreglass uk. 1,8 x 0,9 (m)</v>
          </cell>
          <cell r="C485" t="str">
            <v>lembar</v>
          </cell>
          <cell r="D485">
            <v>123600</v>
          </cell>
          <cell r="E485">
            <v>123600</v>
          </cell>
        </row>
        <row r="486">
          <cell r="B486" t="str">
            <v>Rooster block uk. 12 x 11 x 24 (cm)</v>
          </cell>
          <cell r="C486" t="str">
            <v>buah</v>
          </cell>
          <cell r="D486">
            <v>10200</v>
          </cell>
          <cell r="E486">
            <v>10200</v>
          </cell>
        </row>
        <row r="487">
          <cell r="B487" t="str">
            <v>Rooster block uk. 20 x 20 (cm)</v>
          </cell>
          <cell r="C487" t="str">
            <v>buah</v>
          </cell>
          <cell r="D487">
            <v>5775</v>
          </cell>
          <cell r="E487">
            <v>5775</v>
          </cell>
        </row>
        <row r="488">
          <cell r="B488" t="str">
            <v>Sabun</v>
          </cell>
          <cell r="C488" t="str">
            <v>kg</v>
          </cell>
          <cell r="D488">
            <v>9300</v>
          </cell>
          <cell r="E488">
            <v>9300</v>
          </cell>
        </row>
        <row r="489">
          <cell r="B489" t="str">
            <v>Saklar</v>
          </cell>
          <cell r="C489" t="str">
            <v>buah</v>
          </cell>
          <cell r="D489">
            <v>18900</v>
          </cell>
          <cell r="E489">
            <v>18900</v>
          </cell>
        </row>
        <row r="490">
          <cell r="B490" t="str">
            <v>Saklar dobel</v>
          </cell>
          <cell r="C490" t="str">
            <v>buah</v>
          </cell>
          <cell r="D490">
            <v>31400</v>
          </cell>
          <cell r="E490">
            <v>31400</v>
          </cell>
        </row>
        <row r="491">
          <cell r="B491" t="str">
            <v>Sealent</v>
          </cell>
          <cell r="C491" t="str">
            <v>kg</v>
          </cell>
          <cell r="D491">
            <v>61800</v>
          </cell>
          <cell r="E491">
            <v>61800</v>
          </cell>
        </row>
        <row r="492">
          <cell r="B492" t="str">
            <v>Semen PC @ 50 kg</v>
          </cell>
          <cell r="C492" t="str">
            <v>kg</v>
          </cell>
          <cell r="D492">
            <v>1398</v>
          </cell>
          <cell r="E492">
            <v>1398</v>
          </cell>
        </row>
        <row r="493">
          <cell r="B493" t="str">
            <v>Semen Batu Raja</v>
          </cell>
          <cell r="C493" t="str">
            <v>kg</v>
          </cell>
          <cell r="D493">
            <v>1432.8</v>
          </cell>
          <cell r="E493">
            <v>1432.8</v>
          </cell>
        </row>
        <row r="494">
          <cell r="B494" t="str">
            <v>Semen Kujang</v>
          </cell>
          <cell r="C494" t="str">
            <v>kg</v>
          </cell>
          <cell r="D494">
            <v>1432.8</v>
          </cell>
          <cell r="E494">
            <v>1432.8</v>
          </cell>
        </row>
        <row r="495">
          <cell r="B495" t="str">
            <v>Semen Padang</v>
          </cell>
          <cell r="C495" t="str">
            <v>kg</v>
          </cell>
          <cell r="D495">
            <v>1432.8</v>
          </cell>
          <cell r="E495">
            <v>1432.8</v>
          </cell>
        </row>
        <row r="496">
          <cell r="B496" t="str">
            <v>Semen Tiga Roda</v>
          </cell>
          <cell r="C496" t="str">
            <v>kg</v>
          </cell>
          <cell r="D496">
            <v>1432.8</v>
          </cell>
          <cell r="E496">
            <v>1432.8</v>
          </cell>
        </row>
        <row r="497">
          <cell r="B497" t="str">
            <v>Semen putih</v>
          </cell>
          <cell r="C497" t="str">
            <v>kg</v>
          </cell>
          <cell r="D497">
            <v>1958.73</v>
          </cell>
          <cell r="E497">
            <v>1958.73</v>
          </cell>
        </row>
        <row r="498">
          <cell r="B498" t="str">
            <v>Tanah puru dari luar lokasi proyek</v>
          </cell>
          <cell r="C498" t="str">
            <v>m3</v>
          </cell>
          <cell r="D498">
            <v>77380</v>
          </cell>
          <cell r="E498">
            <v>77380</v>
          </cell>
        </row>
        <row r="499">
          <cell r="B499" t="str">
            <v>Tanah puru di lokasi proyek</v>
          </cell>
          <cell r="C499" t="str">
            <v>m3</v>
          </cell>
          <cell r="D499">
            <v>68620</v>
          </cell>
          <cell r="E499">
            <v>68620</v>
          </cell>
        </row>
        <row r="500">
          <cell r="B500" t="str">
            <v>Semen warna</v>
          </cell>
          <cell r="C500" t="str">
            <v>kg</v>
          </cell>
          <cell r="D500">
            <v>16200</v>
          </cell>
          <cell r="E500">
            <v>16200</v>
          </cell>
        </row>
        <row r="501">
          <cell r="B501" t="str">
            <v>Seng plat BJLS 27 uk. 0.3 x 1.83 (m)</v>
          </cell>
          <cell r="C501" t="str">
            <v>lembar</v>
          </cell>
          <cell r="D501">
            <v>56500</v>
          </cell>
          <cell r="E501">
            <v>56500</v>
          </cell>
        </row>
        <row r="502">
          <cell r="B502" t="str">
            <v>Seng plat BJLS 27 uk. 0.9  x 1.83 (m)</v>
          </cell>
          <cell r="C502" t="str">
            <v>lembar</v>
          </cell>
          <cell r="D502">
            <v>70600</v>
          </cell>
          <cell r="E502">
            <v>70600</v>
          </cell>
        </row>
        <row r="503">
          <cell r="B503" t="str">
            <v>Seng gelombang Bjls 20</v>
          </cell>
          <cell r="C503" t="str">
            <v>m2</v>
          </cell>
          <cell r="D503">
            <v>59503.5</v>
          </cell>
          <cell r="E503">
            <v>59503.5</v>
          </cell>
        </row>
        <row r="504">
          <cell r="B504" t="str">
            <v>Seng plat uk. 1,00 x 2,00 cm Bjls 30</v>
          </cell>
          <cell r="C504" t="str">
            <v>Kp</v>
          </cell>
          <cell r="D504">
            <v>73347.12</v>
          </cell>
          <cell r="E504">
            <v>73347.12</v>
          </cell>
        </row>
        <row r="505">
          <cell r="B505" t="str">
            <v>Sherra block</v>
          </cell>
          <cell r="C505" t="str">
            <v>buah</v>
          </cell>
          <cell r="D505">
            <v>2600</v>
          </cell>
          <cell r="E505">
            <v>2600</v>
          </cell>
        </row>
        <row r="506">
          <cell r="B506" t="str">
            <v>Sirtu</v>
          </cell>
          <cell r="C506" t="str">
            <v>m³</v>
          </cell>
          <cell r="D506">
            <v>70600</v>
          </cell>
          <cell r="E506">
            <v>70600</v>
          </cell>
        </row>
        <row r="507">
          <cell r="B507" t="str">
            <v>Slot jendela</v>
          </cell>
          <cell r="C507" t="str">
            <v>buah</v>
          </cell>
          <cell r="D507">
            <v>14100</v>
          </cell>
          <cell r="E507">
            <v>14100</v>
          </cell>
        </row>
        <row r="508">
          <cell r="B508" t="str">
            <v>Slot pintu</v>
          </cell>
          <cell r="C508" t="str">
            <v>buah</v>
          </cell>
          <cell r="D508">
            <v>15900</v>
          </cell>
          <cell r="E508">
            <v>15900</v>
          </cell>
        </row>
        <row r="509">
          <cell r="B509" t="str">
            <v>Slot ventilasi / bouwvenlight</v>
          </cell>
          <cell r="C509" t="str">
            <v>buah</v>
          </cell>
          <cell r="D509">
            <v>15000</v>
          </cell>
          <cell r="E509">
            <v>15000</v>
          </cell>
        </row>
        <row r="510">
          <cell r="B510" t="str">
            <v xml:space="preserve">Socket PVC ø 1 (inch) </v>
          </cell>
          <cell r="C510" t="str">
            <v>buah</v>
          </cell>
          <cell r="D510">
            <v>10600</v>
          </cell>
          <cell r="E510">
            <v>10600</v>
          </cell>
        </row>
        <row r="511">
          <cell r="B511" t="str">
            <v xml:space="preserve">Socket PVC ø 1/2 (inch) </v>
          </cell>
          <cell r="C511" t="str">
            <v>buah</v>
          </cell>
          <cell r="D511">
            <v>12100</v>
          </cell>
          <cell r="E511">
            <v>12100</v>
          </cell>
        </row>
        <row r="512">
          <cell r="B512" t="str">
            <v xml:space="preserve">Socket PVC ø 3/4 (inch) </v>
          </cell>
          <cell r="C512" t="str">
            <v>buah</v>
          </cell>
          <cell r="D512">
            <v>8800</v>
          </cell>
          <cell r="E512">
            <v>8800</v>
          </cell>
        </row>
        <row r="513">
          <cell r="B513" t="str">
            <v>Soda api</v>
          </cell>
          <cell r="C513" t="str">
            <v>kg</v>
          </cell>
          <cell r="D513">
            <v>38800</v>
          </cell>
          <cell r="E513">
            <v>38800</v>
          </cell>
        </row>
        <row r="514">
          <cell r="B514" t="str">
            <v>Softboard uk. 1,20 x 2,40 (m), tebal 4 mm</v>
          </cell>
          <cell r="C514" t="str">
            <v>lembar</v>
          </cell>
          <cell r="D514">
            <v>61800</v>
          </cell>
          <cell r="E514">
            <v>61800</v>
          </cell>
        </row>
        <row r="515">
          <cell r="B515" t="str">
            <v>Stone Coating</v>
          </cell>
          <cell r="C515" t="str">
            <v>kg</v>
          </cell>
          <cell r="D515">
            <v>41300</v>
          </cell>
          <cell r="E515">
            <v>41300</v>
          </cell>
        </row>
        <row r="516">
          <cell r="B516" t="str">
            <v>Stop kontak + instalasi</v>
          </cell>
          <cell r="C516" t="str">
            <v>titik</v>
          </cell>
          <cell r="D516">
            <v>46620</v>
          </cell>
          <cell r="E516">
            <v>46620</v>
          </cell>
        </row>
        <row r="517">
          <cell r="B517" t="str">
            <v>Stop kran dia 13 mm</v>
          </cell>
          <cell r="C517" t="str">
            <v>bh</v>
          </cell>
          <cell r="D517">
            <v>25803.18</v>
          </cell>
          <cell r="E517">
            <v>25803.18</v>
          </cell>
        </row>
        <row r="518">
          <cell r="B518" t="str">
            <v>Streorox - 100</v>
          </cell>
          <cell r="C518" t="str">
            <v>kg</v>
          </cell>
          <cell r="D518">
            <v>5300</v>
          </cell>
          <cell r="E518">
            <v>5300</v>
          </cell>
        </row>
        <row r="519">
          <cell r="B519" t="str">
            <v>Sunscreen alumunium</v>
          </cell>
          <cell r="C519" t="str">
            <v>m²</v>
          </cell>
          <cell r="D519">
            <v>79400</v>
          </cell>
          <cell r="E519">
            <v>79400</v>
          </cell>
        </row>
        <row r="520">
          <cell r="B520" t="str">
            <v>Tangki air / hydrant umum fiberglass 1.000 liter</v>
          </cell>
          <cell r="C520" t="str">
            <v>buah</v>
          </cell>
          <cell r="D520">
            <v>3208800</v>
          </cell>
          <cell r="E520">
            <v>3208800</v>
          </cell>
        </row>
        <row r="521">
          <cell r="B521" t="str">
            <v>Tangki air / hydrant umum fiberglass 2.000 liter</v>
          </cell>
          <cell r="C521" t="str">
            <v>buah</v>
          </cell>
          <cell r="D521">
            <v>2643630.2400000002</v>
          </cell>
          <cell r="E521">
            <v>2643630.2400000002</v>
          </cell>
        </row>
        <row r="522">
          <cell r="B522" t="str">
            <v>Tangki air / hydrant umum fiberglass 3.000 liter</v>
          </cell>
          <cell r="C522" t="str">
            <v>buah</v>
          </cell>
          <cell r="D522">
            <v>9712800</v>
          </cell>
          <cell r="E522">
            <v>9712800</v>
          </cell>
        </row>
        <row r="523">
          <cell r="B523" t="str">
            <v>Tangki air / hydrant umum fiberglass 6.000 liter (horizontal)</v>
          </cell>
          <cell r="C523" t="str">
            <v>buah</v>
          </cell>
          <cell r="D523">
            <v>29564600</v>
          </cell>
          <cell r="E523">
            <v>29564600</v>
          </cell>
        </row>
        <row r="524">
          <cell r="B524" t="str">
            <v>Tangki air / hydrant umum polyethylene 1.000 liter</v>
          </cell>
          <cell r="C524" t="str">
            <v>buah</v>
          </cell>
          <cell r="D524">
            <v>2797500</v>
          </cell>
          <cell r="E524">
            <v>2797500</v>
          </cell>
        </row>
        <row r="525">
          <cell r="B525" t="str">
            <v>Tangki air / hydrant umum polyethylene 2.000 liter</v>
          </cell>
          <cell r="C525" t="str">
            <v>buah</v>
          </cell>
          <cell r="D525">
            <v>6354000</v>
          </cell>
          <cell r="E525">
            <v>6354000</v>
          </cell>
        </row>
        <row r="526">
          <cell r="B526" t="str">
            <v>Tangki air / hydrant umum polyethylene 3.000 liter</v>
          </cell>
          <cell r="C526" t="str">
            <v>buah</v>
          </cell>
          <cell r="D526">
            <v>8454400</v>
          </cell>
          <cell r="E526">
            <v>8454400</v>
          </cell>
        </row>
        <row r="527">
          <cell r="B527" t="str">
            <v>Tangki air / hydrant umum polyethylene 4.000 liter</v>
          </cell>
          <cell r="C527" t="str">
            <v>buah</v>
          </cell>
          <cell r="D527">
            <v>10801800</v>
          </cell>
          <cell r="E527">
            <v>10801800</v>
          </cell>
        </row>
        <row r="528">
          <cell r="B528" t="str">
            <v>Tangki air / hydrant umum polyethylene 5.000 liter</v>
          </cell>
          <cell r="C528" t="str">
            <v>buah</v>
          </cell>
          <cell r="D528">
            <v>12628600</v>
          </cell>
          <cell r="E528">
            <v>12628600</v>
          </cell>
        </row>
        <row r="529">
          <cell r="B529" t="str">
            <v xml:space="preserve">Tangki air / hydrant umum polyethylene 500 liter </v>
          </cell>
          <cell r="C529" t="str">
            <v>buah</v>
          </cell>
          <cell r="D529">
            <v>1200200</v>
          </cell>
          <cell r="E529">
            <v>1200200</v>
          </cell>
        </row>
        <row r="530">
          <cell r="B530" t="str">
            <v>Tangki air fiberglass (oranye) 1.000 liter</v>
          </cell>
          <cell r="C530" t="str">
            <v>buah</v>
          </cell>
          <cell r="D530">
            <v>2647500</v>
          </cell>
          <cell r="E530">
            <v>2647500</v>
          </cell>
        </row>
        <row r="531">
          <cell r="B531" t="str">
            <v>Tangki air fiberglass (oranye) 2.000 liter</v>
          </cell>
          <cell r="C531" t="str">
            <v>buah</v>
          </cell>
          <cell r="D531">
            <v>5295000</v>
          </cell>
          <cell r="E531">
            <v>5295000</v>
          </cell>
        </row>
        <row r="532">
          <cell r="B532" t="str">
            <v>Tangki air fiberglass (oranye) 3.000 liter</v>
          </cell>
          <cell r="C532" t="str">
            <v>buah</v>
          </cell>
          <cell r="D532">
            <v>9712800</v>
          </cell>
          <cell r="E532">
            <v>9712800</v>
          </cell>
        </row>
        <row r="533">
          <cell r="B533" t="str">
            <v>Tangki air fiberglass (oranye) 500 liter</v>
          </cell>
          <cell r="C533" t="str">
            <v>buah</v>
          </cell>
          <cell r="D533">
            <v>970800</v>
          </cell>
          <cell r="E533">
            <v>970800</v>
          </cell>
        </row>
        <row r="534">
          <cell r="B534" t="str">
            <v>Teak wood 0,30 x 0,60 (m), tebal 4 mm</v>
          </cell>
          <cell r="C534" t="str">
            <v>lembar</v>
          </cell>
          <cell r="D534">
            <v>113400</v>
          </cell>
          <cell r="E534">
            <v>113400</v>
          </cell>
        </row>
        <row r="535">
          <cell r="B535" t="str">
            <v>Teak wood 0,90 x 2,10 (m), tebal 4 mm</v>
          </cell>
          <cell r="C535" t="str">
            <v>lembar</v>
          </cell>
          <cell r="D535">
            <v>144700</v>
          </cell>
          <cell r="E535">
            <v>144700</v>
          </cell>
        </row>
        <row r="536">
          <cell r="B536" t="str">
            <v>Teak wood 1,20 x 2,40 (m), tebal 4 mm</v>
          </cell>
          <cell r="C536" t="str">
            <v>lembar</v>
          </cell>
          <cell r="D536">
            <v>220600</v>
          </cell>
          <cell r="E536">
            <v>220600</v>
          </cell>
        </row>
        <row r="537">
          <cell r="B537" t="str">
            <v>Teak wood 1,20 x 2,40 (m), tebal 4 mm</v>
          </cell>
          <cell r="C537" t="str">
            <v>m2</v>
          </cell>
          <cell r="D537">
            <v>67500</v>
          </cell>
          <cell r="E537">
            <v>67500</v>
          </cell>
        </row>
        <row r="538">
          <cell r="B538" t="str">
            <v>Tee C1 dia 200 x 200 mm ff</v>
          </cell>
          <cell r="C538" t="str">
            <v>unit</v>
          </cell>
          <cell r="D538">
            <v>2626206.9700000002</v>
          </cell>
          <cell r="E538">
            <v>2626206.9700000002</v>
          </cell>
        </row>
        <row r="539">
          <cell r="B539" t="str">
            <v>Tee Gip dia 13 mm</v>
          </cell>
          <cell r="C539" t="str">
            <v>bh</v>
          </cell>
          <cell r="D539">
            <v>3780</v>
          </cell>
          <cell r="E539">
            <v>3780</v>
          </cell>
        </row>
        <row r="540">
          <cell r="B540" t="str">
            <v>Tee all socket PVC ø 100 x 50 (mm)</v>
          </cell>
          <cell r="C540" t="str">
            <v>unit</v>
          </cell>
          <cell r="D540">
            <v>829015.83</v>
          </cell>
          <cell r="E540">
            <v>829015.83</v>
          </cell>
        </row>
        <row r="541">
          <cell r="B541" t="str">
            <v>Tee PVC 150 x 100 mm</v>
          </cell>
          <cell r="C541" t="str">
            <v>unit</v>
          </cell>
          <cell r="D541">
            <v>1330085.01</v>
          </cell>
          <cell r="E541">
            <v>1330085.01</v>
          </cell>
        </row>
        <row r="542">
          <cell r="B542" t="str">
            <v>Tee PVC 150 x 150 mm</v>
          </cell>
          <cell r="C542" t="str">
            <v>unit</v>
          </cell>
          <cell r="D542">
            <v>1450060.89</v>
          </cell>
          <cell r="E542">
            <v>1450060.89</v>
          </cell>
        </row>
        <row r="543">
          <cell r="B543" t="str">
            <v>Tee PVC 150 x 40 mm</v>
          </cell>
          <cell r="C543" t="str">
            <v>unit</v>
          </cell>
          <cell r="D543">
            <v>1209008.92</v>
          </cell>
          <cell r="E543">
            <v>1209008.92</v>
          </cell>
        </row>
        <row r="544">
          <cell r="B544" t="str">
            <v>Tee PVC 200 x 200 mm</v>
          </cell>
          <cell r="C544" t="str">
            <v>unit</v>
          </cell>
          <cell r="D544">
            <v>1934590.3</v>
          </cell>
          <cell r="E544">
            <v>1934590.3</v>
          </cell>
        </row>
        <row r="545">
          <cell r="B545" t="str">
            <v>Tee all socket PVC ø 225 x 100 (mm)</v>
          </cell>
          <cell r="C545" t="str">
            <v>unit</v>
          </cell>
          <cell r="D545">
            <v>626600</v>
          </cell>
          <cell r="E545">
            <v>626600</v>
          </cell>
        </row>
        <row r="546">
          <cell r="B546" t="str">
            <v>Tee all socket PVC ø 50 x 50 (mm)</v>
          </cell>
          <cell r="C546" t="str">
            <v>unit</v>
          </cell>
          <cell r="D546">
            <v>317700</v>
          </cell>
          <cell r="E546">
            <v>317700</v>
          </cell>
        </row>
        <row r="547">
          <cell r="B547" t="str">
            <v>Tee all socket PVC ø 80 x 50 (mm)</v>
          </cell>
          <cell r="C547" t="str">
            <v>unit</v>
          </cell>
          <cell r="D547">
            <v>604503.63</v>
          </cell>
          <cell r="E547">
            <v>604503.63</v>
          </cell>
        </row>
        <row r="548">
          <cell r="B548" t="str">
            <v>Tee Pvc 80 x 80 mm</v>
          </cell>
          <cell r="C548" t="str">
            <v>unit</v>
          </cell>
          <cell r="D548">
            <v>829015.83</v>
          </cell>
          <cell r="E548">
            <v>829015.83</v>
          </cell>
        </row>
        <row r="549">
          <cell r="B549" t="str">
            <v>Tutup Manhole uk. 60 x 60 cm</v>
          </cell>
          <cell r="C549" t="str">
            <v>unit</v>
          </cell>
          <cell r="D549">
            <v>365568.84</v>
          </cell>
          <cell r="E549">
            <v>365568.84</v>
          </cell>
        </row>
        <row r="550">
          <cell r="B550" t="str">
            <v>Tempat sabun keramik</v>
          </cell>
          <cell r="C550" t="str">
            <v>buah</v>
          </cell>
          <cell r="D550">
            <v>64400</v>
          </cell>
          <cell r="E550">
            <v>64400</v>
          </cell>
        </row>
        <row r="551">
          <cell r="B551" t="str">
            <v>Ter</v>
          </cell>
          <cell r="C551" t="str">
            <v>kg</v>
          </cell>
          <cell r="D551">
            <v>8977.5</v>
          </cell>
          <cell r="E551">
            <v>8977.5</v>
          </cell>
        </row>
        <row r="552">
          <cell r="B552" t="str">
            <v>Timbunan biasa</v>
          </cell>
          <cell r="C552" t="str">
            <v>m³</v>
          </cell>
          <cell r="D552">
            <v>70600</v>
          </cell>
          <cell r="E552">
            <v>70600</v>
          </cell>
        </row>
        <row r="553">
          <cell r="B553" t="str">
            <v>Timbunan pilihan / tanah puru</v>
          </cell>
          <cell r="C553" t="str">
            <v>m³</v>
          </cell>
          <cell r="D553">
            <v>114700</v>
          </cell>
          <cell r="E553">
            <v>114700</v>
          </cell>
        </row>
        <row r="554">
          <cell r="B554" t="str">
            <v>Triplek tebal 2.5 mm uk. 1.22 x 2.44 (m)</v>
          </cell>
          <cell r="C554" t="str">
            <v>lembar</v>
          </cell>
          <cell r="D554">
            <v>74800</v>
          </cell>
          <cell r="E554">
            <v>74800</v>
          </cell>
        </row>
        <row r="555">
          <cell r="B555" t="str">
            <v>Triplek tebal 4 mm uk. 1.22 x 2.44 (m)</v>
          </cell>
          <cell r="C555" t="str">
            <v>lembar</v>
          </cell>
          <cell r="D555">
            <v>79380</v>
          </cell>
          <cell r="E555">
            <v>79380</v>
          </cell>
        </row>
        <row r="556">
          <cell r="B556" t="str">
            <v>Triplek 2,2 mm uk. ( 4' x 8' )</v>
          </cell>
          <cell r="C556" t="str">
            <v>m2</v>
          </cell>
          <cell r="D556">
            <v>49350</v>
          </cell>
          <cell r="E556">
            <v>49350</v>
          </cell>
        </row>
        <row r="557">
          <cell r="B557" t="str">
            <v>Triplek 3,0 mm uk. ( 4' x 8' )</v>
          </cell>
          <cell r="C557" t="str">
            <v>m2</v>
          </cell>
          <cell r="D557">
            <v>58716</v>
          </cell>
          <cell r="E557">
            <v>58716</v>
          </cell>
        </row>
        <row r="558">
          <cell r="B558" t="str">
            <v>Triplek 4,0 mm uk. ( 4' x 8' )</v>
          </cell>
          <cell r="C558" t="str">
            <v>m2</v>
          </cell>
          <cell r="D558">
            <v>79380</v>
          </cell>
          <cell r="E558">
            <v>79380</v>
          </cell>
        </row>
        <row r="559">
          <cell r="B559" t="str">
            <v>Triplek 6,0 mm uk. ( 4' x 8' )</v>
          </cell>
          <cell r="C559" t="str">
            <v>m2</v>
          </cell>
          <cell r="D559">
            <v>102375</v>
          </cell>
          <cell r="E559">
            <v>102375</v>
          </cell>
        </row>
        <row r="560">
          <cell r="B560" t="str">
            <v>Ubin abu-abu 20 x 20 (cm)</v>
          </cell>
          <cell r="C560" t="str">
            <v>buah</v>
          </cell>
          <cell r="D560">
            <v>5300</v>
          </cell>
          <cell r="E560">
            <v>5300</v>
          </cell>
        </row>
        <row r="561">
          <cell r="B561" t="str">
            <v>Ubin berwarna 20 x 20 (cm)</v>
          </cell>
          <cell r="C561" t="str">
            <v>buah</v>
          </cell>
          <cell r="D561">
            <v>6200</v>
          </cell>
          <cell r="E561">
            <v>6200</v>
          </cell>
        </row>
        <row r="562">
          <cell r="B562" t="str">
            <v>Ubin granito 30 x 30 cm</v>
          </cell>
          <cell r="C562" t="str">
            <v>m²</v>
          </cell>
          <cell r="D562">
            <v>0</v>
          </cell>
        </row>
        <row r="563">
          <cell r="B563" t="str">
            <v>Ubin granito 40 x 40 cm</v>
          </cell>
          <cell r="C563" t="str">
            <v>m²</v>
          </cell>
          <cell r="D563">
            <v>0</v>
          </cell>
        </row>
        <row r="564">
          <cell r="B564" t="str">
            <v>Ubin motif (mozaik)</v>
          </cell>
          <cell r="C564" t="str">
            <v>m²</v>
          </cell>
          <cell r="D564">
            <v>185300</v>
          </cell>
          <cell r="E564">
            <v>185300</v>
          </cell>
        </row>
        <row r="565">
          <cell r="B565" t="str">
            <v xml:space="preserve">Ubin wafel </v>
          </cell>
          <cell r="C565" t="str">
            <v>buah</v>
          </cell>
          <cell r="D565">
            <v>5100</v>
          </cell>
          <cell r="E565">
            <v>5100</v>
          </cell>
        </row>
        <row r="566">
          <cell r="B566" t="str">
            <v xml:space="preserve">Urinoir terasso </v>
          </cell>
          <cell r="C566" t="str">
            <v>Unit</v>
          </cell>
          <cell r="D566">
            <v>825300</v>
          </cell>
          <cell r="E566">
            <v>825300</v>
          </cell>
        </row>
        <row r="567">
          <cell r="B567" t="str">
            <v>Ventilasi dia 80 mm</v>
          </cell>
          <cell r="C567" t="str">
            <v>unit</v>
          </cell>
          <cell r="D567">
            <v>365568.84</v>
          </cell>
          <cell r="E567">
            <v>365568.84</v>
          </cell>
        </row>
        <row r="568">
          <cell r="B568" t="str">
            <v>Venetion blinds</v>
          </cell>
          <cell r="C568" t="str">
            <v>m²</v>
          </cell>
          <cell r="D568">
            <v>67500</v>
          </cell>
          <cell r="E568">
            <v>67500</v>
          </cell>
        </row>
        <row r="569">
          <cell r="B569" t="str">
            <v>Vertical blinds</v>
          </cell>
          <cell r="C569" t="str">
            <v>m²</v>
          </cell>
          <cell r="D569">
            <v>5250</v>
          </cell>
          <cell r="E569">
            <v>5250</v>
          </cell>
        </row>
        <row r="570">
          <cell r="B570" t="str">
            <v>Wallpaper bermotif</v>
          </cell>
          <cell r="C570" t="str">
            <v>m²</v>
          </cell>
          <cell r="D570">
            <v>240900</v>
          </cell>
          <cell r="E570">
            <v>240900</v>
          </cell>
        </row>
        <row r="571">
          <cell r="B571" t="str">
            <v>Wallpaper polos</v>
          </cell>
          <cell r="C571" t="str">
            <v>m²</v>
          </cell>
          <cell r="D571">
            <v>96000</v>
          </cell>
          <cell r="E571">
            <v>96000</v>
          </cell>
        </row>
        <row r="572">
          <cell r="B572" t="str">
            <v>Wallcast dia 200 mm</v>
          </cell>
          <cell r="C572" t="str">
            <v>unit</v>
          </cell>
          <cell r="D572">
            <v>1279073.8799999999</v>
          </cell>
          <cell r="E572">
            <v>1279073.8799999999</v>
          </cell>
        </row>
        <row r="573">
          <cell r="B573" t="str">
            <v>Wastapel keramik uk.besar</v>
          </cell>
          <cell r="C573" t="str">
            <v>bh</v>
          </cell>
          <cell r="D573">
            <v>661500</v>
          </cell>
          <cell r="E573">
            <v>661500</v>
          </cell>
        </row>
        <row r="574">
          <cell r="B574" t="str">
            <v>Wastapel keramik uk.kecil</v>
          </cell>
          <cell r="C574" t="str">
            <v>bh</v>
          </cell>
          <cell r="D574">
            <v>437850</v>
          </cell>
          <cell r="E574">
            <v>437850</v>
          </cell>
        </row>
        <row r="575">
          <cell r="B575" t="str">
            <v xml:space="preserve">Wastafel </v>
          </cell>
          <cell r="C575" t="str">
            <v>buah</v>
          </cell>
          <cell r="D575">
            <v>467700</v>
          </cell>
          <cell r="E575">
            <v>467700</v>
          </cell>
        </row>
        <row r="576">
          <cell r="B576" t="str">
            <v>Water meter ø 1 (inch) + pipa GIP</v>
          </cell>
          <cell r="C576" t="str">
            <v>unit</v>
          </cell>
          <cell r="D576">
            <v>856000</v>
          </cell>
          <cell r="E576">
            <v>856000</v>
          </cell>
        </row>
        <row r="577">
          <cell r="B577" t="str">
            <v xml:space="preserve">Water stop </v>
          </cell>
          <cell r="C577" t="str">
            <v>m'</v>
          </cell>
          <cell r="D577">
            <v>107100</v>
          </cell>
          <cell r="E577">
            <v>107100</v>
          </cell>
        </row>
        <row r="578">
          <cell r="B578" t="str">
            <v>Zinc alum</v>
          </cell>
          <cell r="C578" t="str">
            <v>m2</v>
          </cell>
          <cell r="D578">
            <v>69300</v>
          </cell>
          <cell r="E578">
            <v>69300</v>
          </cell>
        </row>
        <row r="579">
          <cell r="D579">
            <v>0</v>
          </cell>
        </row>
        <row r="580">
          <cell r="B580" t="str">
            <v>PERALATAN (BIAYA PEMILIKAN DAN OPERASI)</v>
          </cell>
          <cell r="D580">
            <v>0</v>
          </cell>
        </row>
        <row r="581">
          <cell r="D581">
            <v>0</v>
          </cell>
        </row>
        <row r="582">
          <cell r="B582" t="str">
            <v>Bulldozer</v>
          </cell>
          <cell r="C582" t="str">
            <v>jam</v>
          </cell>
          <cell r="D582">
            <v>420000</v>
          </cell>
          <cell r="E582">
            <v>420000</v>
          </cell>
        </row>
        <row r="583">
          <cell r="B583" t="str">
            <v>Stone Crusher</v>
          </cell>
          <cell r="C583" t="str">
            <v>jam</v>
          </cell>
          <cell r="D583">
            <v>400000</v>
          </cell>
          <cell r="E583">
            <v>400000</v>
          </cell>
        </row>
        <row r="584">
          <cell r="B584" t="str">
            <v>Motor grader</v>
          </cell>
          <cell r="C584" t="str">
            <v>jam</v>
          </cell>
          <cell r="D584">
            <v>334000</v>
          </cell>
          <cell r="E584">
            <v>334000</v>
          </cell>
        </row>
        <row r="585">
          <cell r="B585" t="str">
            <v>Pemecah batu</v>
          </cell>
          <cell r="C585" t="str">
            <v>jam</v>
          </cell>
          <cell r="D585">
            <v>702000</v>
          </cell>
          <cell r="E585">
            <v>702000</v>
          </cell>
        </row>
        <row r="586">
          <cell r="B586" t="str">
            <v>Mesin penyaring</v>
          </cell>
          <cell r="C586" t="str">
            <v>jam</v>
          </cell>
          <cell r="D586">
            <v>278300</v>
          </cell>
          <cell r="E586">
            <v>278300</v>
          </cell>
        </row>
        <row r="587">
          <cell r="B587" t="str">
            <v>Wheel loader</v>
          </cell>
          <cell r="C587" t="str">
            <v>jam</v>
          </cell>
          <cell r="D587">
            <v>318600</v>
          </cell>
          <cell r="E587">
            <v>318600</v>
          </cell>
        </row>
        <row r="588">
          <cell r="B588" t="str">
            <v>Wheel tractor</v>
          </cell>
          <cell r="C588" t="str">
            <v>jam</v>
          </cell>
          <cell r="D588">
            <v>124200</v>
          </cell>
          <cell r="E588">
            <v>124200</v>
          </cell>
        </row>
        <row r="589">
          <cell r="B589" t="str">
            <v>Track Loader</v>
          </cell>
          <cell r="C589" t="str">
            <v>jam</v>
          </cell>
          <cell r="D589">
            <v>300000</v>
          </cell>
          <cell r="E589">
            <v>300000</v>
          </cell>
        </row>
        <row r="590">
          <cell r="B590" t="str">
            <v>Mesin gilas roda tiga 8 - 10 ton</v>
          </cell>
          <cell r="C590" t="str">
            <v>jam</v>
          </cell>
          <cell r="D590">
            <v>135600</v>
          </cell>
          <cell r="E590">
            <v>135600</v>
          </cell>
        </row>
        <row r="591">
          <cell r="B591" t="str">
            <v>Mesin gilas tandem 6 - 10 ton</v>
          </cell>
          <cell r="C591" t="str">
            <v>jam</v>
          </cell>
          <cell r="D591">
            <v>210900</v>
          </cell>
          <cell r="E591">
            <v>210900</v>
          </cell>
        </row>
        <row r="592">
          <cell r="B592" t="str">
            <v>Mesin gilas bergetar 10 ton</v>
          </cell>
          <cell r="C592" t="str">
            <v>jam</v>
          </cell>
          <cell r="D592">
            <v>254900</v>
          </cell>
          <cell r="E592">
            <v>254900</v>
          </cell>
        </row>
        <row r="593">
          <cell r="B593" t="str">
            <v>Mesin gilas bergetar 8 - 15 ton</v>
          </cell>
          <cell r="C593" t="str">
            <v>jam</v>
          </cell>
          <cell r="D593">
            <v>277200</v>
          </cell>
          <cell r="E593">
            <v>277200</v>
          </cell>
        </row>
        <row r="594">
          <cell r="B594" t="str">
            <v>Mesin gilas bergetar 1 ton</v>
          </cell>
          <cell r="C594" t="str">
            <v>jam</v>
          </cell>
          <cell r="D594">
            <v>61000</v>
          </cell>
          <cell r="E594">
            <v>61000</v>
          </cell>
        </row>
        <row r="595">
          <cell r="B595" t="str">
            <v>Tamper / handy compactor</v>
          </cell>
          <cell r="C595" t="str">
            <v>jam</v>
          </cell>
          <cell r="D595">
            <v>10600</v>
          </cell>
          <cell r="E595">
            <v>10600</v>
          </cell>
        </row>
        <row r="596">
          <cell r="B596" t="str">
            <v>Alat penggetar beton</v>
          </cell>
          <cell r="C596" t="str">
            <v>jam</v>
          </cell>
          <cell r="D596">
            <v>8100</v>
          </cell>
          <cell r="E596">
            <v>8100</v>
          </cell>
        </row>
        <row r="597">
          <cell r="B597" t="str">
            <v>Mesin penyemprot aspal 1.000 liter</v>
          </cell>
          <cell r="C597" t="str">
            <v>jam</v>
          </cell>
          <cell r="D597">
            <v>98900</v>
          </cell>
          <cell r="E597">
            <v>98900</v>
          </cell>
        </row>
        <row r="598">
          <cell r="B598" t="str">
            <v>Mesin penyemprot aspal 400 liter</v>
          </cell>
          <cell r="C598" t="str">
            <v>jam</v>
          </cell>
          <cell r="D598">
            <v>28500</v>
          </cell>
          <cell r="E598">
            <v>28500</v>
          </cell>
        </row>
        <row r="599">
          <cell r="B599" t="str">
            <v>Mesin penyampur aspal 30 T / J + generator</v>
          </cell>
          <cell r="C599" t="str">
            <v>jam</v>
          </cell>
          <cell r="D599">
            <v>1139300</v>
          </cell>
          <cell r="E599">
            <v>1139300</v>
          </cell>
        </row>
        <row r="600">
          <cell r="B600" t="str">
            <v>Mesin penghampar aspal</v>
          </cell>
          <cell r="C600" t="str">
            <v>jam</v>
          </cell>
          <cell r="D600">
            <v>165100</v>
          </cell>
          <cell r="E600">
            <v>165100</v>
          </cell>
        </row>
        <row r="601">
          <cell r="B601" t="str">
            <v>Truk tangki air</v>
          </cell>
          <cell r="C601" t="str">
            <v>jam</v>
          </cell>
          <cell r="D601">
            <v>122800</v>
          </cell>
          <cell r="E601">
            <v>122800</v>
          </cell>
        </row>
        <row r="602">
          <cell r="B602" t="str">
            <v>Trailer 1 Ton</v>
          </cell>
          <cell r="C602" t="str">
            <v>jam</v>
          </cell>
          <cell r="D602">
            <v>13200</v>
          </cell>
          <cell r="E602">
            <v>13200</v>
          </cell>
        </row>
        <row r="603">
          <cell r="B603" t="str">
            <v>Concrete Vibratur</v>
          </cell>
          <cell r="C603" t="str">
            <v>jam</v>
          </cell>
          <cell r="D603">
            <v>101000</v>
          </cell>
          <cell r="E603">
            <v>101000</v>
          </cell>
        </row>
        <row r="604">
          <cell r="B604" t="str">
            <v>Concrete Mixer</v>
          </cell>
          <cell r="C604" t="str">
            <v>jam</v>
          </cell>
          <cell r="D604">
            <v>101400</v>
          </cell>
          <cell r="E604">
            <v>101400</v>
          </cell>
        </row>
        <row r="605">
          <cell r="B605" t="str">
            <v>Vibrator Roller</v>
          </cell>
          <cell r="C605" t="str">
            <v>jam</v>
          </cell>
          <cell r="D605">
            <v>139200</v>
          </cell>
          <cell r="E605">
            <v>139200</v>
          </cell>
        </row>
        <row r="606">
          <cell r="B606" t="str">
            <v>Dump Truck 3-4 m3</v>
          </cell>
          <cell r="C606" t="str">
            <v>jam</v>
          </cell>
          <cell r="D606">
            <v>113200</v>
          </cell>
          <cell r="E606">
            <v>113200</v>
          </cell>
        </row>
        <row r="607">
          <cell r="B607" t="str">
            <v>Drump Truck</v>
          </cell>
          <cell r="C607" t="str">
            <v>jam</v>
          </cell>
          <cell r="D607">
            <v>181400</v>
          </cell>
          <cell r="E607">
            <v>181400</v>
          </cell>
        </row>
        <row r="608">
          <cell r="B608" t="str">
            <v>Excavator</v>
          </cell>
          <cell r="C608" t="str">
            <v>jam</v>
          </cell>
          <cell r="D608">
            <v>313000</v>
          </cell>
          <cell r="E608">
            <v>313000</v>
          </cell>
        </row>
        <row r="609">
          <cell r="B609" t="str">
            <v>Pulvi Mixer</v>
          </cell>
          <cell r="C609" t="str">
            <v>jam</v>
          </cell>
          <cell r="D609">
            <v>262750</v>
          </cell>
          <cell r="E609">
            <v>262750</v>
          </cell>
        </row>
        <row r="610">
          <cell r="B610" t="str">
            <v>Generator set</v>
          </cell>
          <cell r="C610" t="str">
            <v>jam</v>
          </cell>
          <cell r="D610">
            <v>155600</v>
          </cell>
          <cell r="E610">
            <v>155600</v>
          </cell>
        </row>
        <row r="611">
          <cell r="B611" t="str">
            <v>Water Pump 70-100 mm</v>
          </cell>
          <cell r="C611" t="str">
            <v>jam</v>
          </cell>
          <cell r="D611">
            <v>38800</v>
          </cell>
          <cell r="E611">
            <v>38800</v>
          </cell>
        </row>
        <row r="612">
          <cell r="B612" t="str">
            <v xml:space="preserve">Tamper  </v>
          </cell>
          <cell r="C612" t="str">
            <v>jam</v>
          </cell>
          <cell r="D612">
            <v>41250</v>
          </cell>
          <cell r="E612">
            <v>41250</v>
          </cell>
        </row>
        <row r="613">
          <cell r="B613" t="str">
            <v>Jack Hammer</v>
          </cell>
          <cell r="C613" t="str">
            <v>jam</v>
          </cell>
          <cell r="D613">
            <v>100000</v>
          </cell>
          <cell r="E613">
            <v>100000</v>
          </cell>
        </row>
        <row r="614">
          <cell r="B614" t="str">
            <v>Pedestrian Roller</v>
          </cell>
          <cell r="C614" t="str">
            <v>jam</v>
          </cell>
          <cell r="D614">
            <v>230000</v>
          </cell>
          <cell r="E614">
            <v>230000</v>
          </cell>
        </row>
        <row r="615">
          <cell r="B615" t="str">
            <v>Crane 10-15 ton</v>
          </cell>
          <cell r="C615" t="str">
            <v>jam</v>
          </cell>
          <cell r="D615">
            <v>1125000</v>
          </cell>
          <cell r="E615">
            <v>1125000</v>
          </cell>
        </row>
        <row r="616">
          <cell r="B616" t="str">
            <v>Dump truck 3,5 Ton</v>
          </cell>
          <cell r="C616" t="str">
            <v>jam</v>
          </cell>
          <cell r="D616">
            <v>173200</v>
          </cell>
          <cell r="E616">
            <v>173200</v>
          </cell>
        </row>
        <row r="617">
          <cell r="B617" t="str">
            <v>Dump truck 5,0 Ton</v>
          </cell>
          <cell r="C617" t="str">
            <v>jam</v>
          </cell>
          <cell r="D617">
            <v>217300</v>
          </cell>
          <cell r="E617">
            <v>217300</v>
          </cell>
        </row>
        <row r="618">
          <cell r="B618" t="str">
            <v>Truk bak terbuka 3,5 Ton</v>
          </cell>
          <cell r="C618" t="str">
            <v>jam</v>
          </cell>
          <cell r="D618">
            <v>156700</v>
          </cell>
          <cell r="E618">
            <v>156700</v>
          </cell>
        </row>
        <row r="619">
          <cell r="B619" t="str">
            <v>Flat Bed Truck</v>
          </cell>
          <cell r="C619" t="str">
            <v>jam</v>
          </cell>
          <cell r="D619">
            <v>124800</v>
          </cell>
          <cell r="E619">
            <v>124800</v>
          </cell>
        </row>
        <row r="620">
          <cell r="B620" t="str">
            <v>Tree Wheel Roller 6-8 ton</v>
          </cell>
          <cell r="C620" t="str">
            <v>jam</v>
          </cell>
          <cell r="D620">
            <v>249000</v>
          </cell>
          <cell r="E620">
            <v>249000</v>
          </cell>
        </row>
        <row r="621">
          <cell r="B621" t="str">
            <v>Mesin pengaduk beton 125 liter</v>
          </cell>
          <cell r="C621" t="str">
            <v>jam</v>
          </cell>
          <cell r="D621">
            <v>11900</v>
          </cell>
          <cell r="E621">
            <v>11900</v>
          </cell>
        </row>
        <row r="622">
          <cell r="B622" t="str">
            <v>Mesin pengaduk beton 250 liter</v>
          </cell>
          <cell r="C622" t="str">
            <v>jam</v>
          </cell>
          <cell r="D622">
            <v>39500</v>
          </cell>
          <cell r="E622">
            <v>39500</v>
          </cell>
        </row>
        <row r="623">
          <cell r="B623" t="str">
            <v>Mesin pengaduk beton 500 liter</v>
          </cell>
          <cell r="C623" t="str">
            <v>jam</v>
          </cell>
          <cell r="D623">
            <v>79100</v>
          </cell>
          <cell r="E623">
            <v>79100</v>
          </cell>
        </row>
        <row r="624">
          <cell r="B624" t="str">
            <v>Compressor 210 m3 / jam</v>
          </cell>
          <cell r="C624" t="str">
            <v>jam</v>
          </cell>
          <cell r="D624">
            <v>73000</v>
          </cell>
          <cell r="E624">
            <v>73000</v>
          </cell>
        </row>
        <row r="625">
          <cell r="B625" t="str">
            <v>Pompa air 5 cm, 30 m3 / jam</v>
          </cell>
          <cell r="C625" t="str">
            <v>jam</v>
          </cell>
          <cell r="D625">
            <v>9800</v>
          </cell>
          <cell r="E625">
            <v>9800</v>
          </cell>
        </row>
        <row r="626">
          <cell r="B626" t="str">
            <v>Peralatan traktor</v>
          </cell>
          <cell r="C626" t="str">
            <v>jam</v>
          </cell>
          <cell r="D626">
            <v>57000</v>
          </cell>
          <cell r="E626">
            <v>57000</v>
          </cell>
        </row>
        <row r="627">
          <cell r="B627" t="str">
            <v>Asphalt Finisher</v>
          </cell>
          <cell r="C627" t="str">
            <v>jam</v>
          </cell>
          <cell r="D627">
            <v>340600</v>
          </cell>
          <cell r="E627">
            <v>340600</v>
          </cell>
        </row>
        <row r="628">
          <cell r="B628" t="str">
            <v>asphalt Mixing Plant</v>
          </cell>
          <cell r="C628" t="str">
            <v>jam</v>
          </cell>
          <cell r="D628">
            <v>2142800</v>
          </cell>
          <cell r="E628">
            <v>2142800</v>
          </cell>
        </row>
        <row r="629">
          <cell r="B629" t="str">
            <v>Tandem Roller</v>
          </cell>
          <cell r="C629" t="str">
            <v>jam</v>
          </cell>
          <cell r="D629">
            <v>191800</v>
          </cell>
          <cell r="E629">
            <v>191800</v>
          </cell>
        </row>
        <row r="630">
          <cell r="B630" t="str">
            <v>Pneumanic Tire Roller</v>
          </cell>
          <cell r="C630" t="str">
            <v>jam</v>
          </cell>
          <cell r="D630">
            <v>200000</v>
          </cell>
          <cell r="E630">
            <v>200000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arga ME "/>
      <sheetName val="Elektrikal"/>
      <sheetName val="L-Mechanical"/>
      <sheetName val="Markup"/>
      <sheetName val="harsat"/>
      <sheetName val="H.Satuan"/>
      <sheetName val="LISTR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"/>
      <sheetName val="Rekap Tahap-1"/>
      <sheetName val="RAB_VER_BOQ"/>
      <sheetName val="RAB_VER_REAL"/>
      <sheetName val="HS"/>
      <sheetName val="ANS"/>
      <sheetName val="SCD"/>
      <sheetName val="su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M3">
            <v>2</v>
          </cell>
        </row>
        <row r="4">
          <cell r="M4">
            <v>5</v>
          </cell>
        </row>
        <row r="5">
          <cell r="M5">
            <v>6</v>
          </cell>
        </row>
        <row r="9">
          <cell r="B9" t="str">
            <v>B.1</v>
          </cell>
          <cell r="C9" t="str">
            <v>Kayu Bekesting</v>
          </cell>
          <cell r="F9" t="str">
            <v>m3</v>
          </cell>
          <cell r="G9">
            <v>2350000</v>
          </cell>
        </row>
        <row r="10">
          <cell r="B10" t="str">
            <v>B.2</v>
          </cell>
          <cell r="C10" t="str">
            <v>Paku kayu</v>
          </cell>
          <cell r="F10" t="str">
            <v>Kg</v>
          </cell>
          <cell r="G10">
            <v>8320</v>
          </cell>
        </row>
        <row r="11">
          <cell r="B11" t="str">
            <v>B.3</v>
          </cell>
          <cell r="C11" t="str">
            <v>Paku Seng</v>
          </cell>
          <cell r="F11" t="str">
            <v>Kg</v>
          </cell>
          <cell r="G11">
            <v>12000</v>
          </cell>
        </row>
        <row r="12">
          <cell r="B12" t="str">
            <v>B.4</v>
          </cell>
          <cell r="C12" t="str">
            <v>Pasir Urug</v>
          </cell>
          <cell r="F12" t="str">
            <v>m3</v>
          </cell>
          <cell r="G12">
            <v>90000</v>
          </cell>
        </row>
        <row r="13">
          <cell r="B13" t="str">
            <v>B.5</v>
          </cell>
          <cell r="C13" t="str">
            <v>Pasir Pasang</v>
          </cell>
          <cell r="F13" t="str">
            <v>m3</v>
          </cell>
          <cell r="G13">
            <v>110000</v>
          </cell>
        </row>
        <row r="14">
          <cell r="B14" t="str">
            <v>B.6</v>
          </cell>
          <cell r="C14" t="str">
            <v>Kerikil</v>
          </cell>
          <cell r="F14" t="str">
            <v>m3</v>
          </cell>
          <cell r="G14">
            <v>100000</v>
          </cell>
        </row>
        <row r="15">
          <cell r="B15" t="str">
            <v>B.7</v>
          </cell>
          <cell r="C15" t="str">
            <v>Semen</v>
          </cell>
          <cell r="F15" t="str">
            <v>Kg</v>
          </cell>
          <cell r="G15">
            <v>870</v>
          </cell>
        </row>
        <row r="16">
          <cell r="B16" t="str">
            <v>B.8</v>
          </cell>
          <cell r="C16" t="str">
            <v>Batu Bata</v>
          </cell>
          <cell r="F16" t="str">
            <v>bh</v>
          </cell>
          <cell r="G16">
            <v>580</v>
          </cell>
        </row>
        <row r="17">
          <cell r="B17" t="str">
            <v>B.9</v>
          </cell>
          <cell r="C17" t="str">
            <v>Ready mix K.275</v>
          </cell>
          <cell r="F17" t="str">
            <v>m3</v>
          </cell>
          <cell r="G17">
            <v>660000</v>
          </cell>
        </row>
        <row r="18">
          <cell r="B18" t="str">
            <v>B.10</v>
          </cell>
          <cell r="C18" t="str">
            <v>T. Pancang 32x32x32 cm</v>
          </cell>
          <cell r="F18" t="str">
            <v>m</v>
          </cell>
          <cell r="G18">
            <v>185900</v>
          </cell>
        </row>
        <row r="19">
          <cell r="B19" t="str">
            <v>B.11</v>
          </cell>
          <cell r="C19" t="str">
            <v>Besi Beton</v>
          </cell>
          <cell r="F19" t="str">
            <v>Kg</v>
          </cell>
          <cell r="G19">
            <v>5800</v>
          </cell>
        </row>
        <row r="20">
          <cell r="B20" t="str">
            <v>B.12</v>
          </cell>
          <cell r="C20" t="str">
            <v>Kawat Beton</v>
          </cell>
          <cell r="F20" t="str">
            <v>Kg</v>
          </cell>
          <cell r="G20">
            <v>8000</v>
          </cell>
        </row>
        <row r="21">
          <cell r="B21" t="str">
            <v>B.13</v>
          </cell>
          <cell r="C21" t="str">
            <v>Batu kali</v>
          </cell>
          <cell r="F21" t="str">
            <v>m3</v>
          </cell>
          <cell r="G21">
            <v>100000</v>
          </cell>
        </row>
        <row r="22">
          <cell r="B22" t="str">
            <v>B.14</v>
          </cell>
          <cell r="C22" t="str">
            <v>Tanah Timbun</v>
          </cell>
          <cell r="F22" t="str">
            <v>m3</v>
          </cell>
          <cell r="G22">
            <v>45000</v>
          </cell>
        </row>
        <row r="23">
          <cell r="B23" t="str">
            <v>B.15</v>
          </cell>
          <cell r="C23" t="str">
            <v>Multiplek 9 mm Film</v>
          </cell>
          <cell r="F23" t="str">
            <v>Lbr</v>
          </cell>
          <cell r="G23">
            <v>135000</v>
          </cell>
        </row>
        <row r="24">
          <cell r="B24" t="str">
            <v>B.16</v>
          </cell>
          <cell r="C24" t="str">
            <v xml:space="preserve">Multiplek 9 mm </v>
          </cell>
          <cell r="F24" t="str">
            <v>Lbr</v>
          </cell>
          <cell r="G24">
            <v>125000</v>
          </cell>
        </row>
        <row r="25">
          <cell r="B25" t="str">
            <v>B.17</v>
          </cell>
          <cell r="C25" t="str">
            <v>Waterproofing Membrane</v>
          </cell>
          <cell r="F25" t="str">
            <v>m2</v>
          </cell>
          <cell r="G25">
            <v>75000</v>
          </cell>
        </row>
        <row r="26">
          <cell r="B26" t="str">
            <v>B.18</v>
          </cell>
          <cell r="C26" t="str">
            <v xml:space="preserve">Kuda2 Baja Ringan </v>
          </cell>
          <cell r="F26" t="str">
            <v>m2</v>
          </cell>
          <cell r="G26">
            <v>208000</v>
          </cell>
        </row>
        <row r="27">
          <cell r="B27" t="str">
            <v>B.19</v>
          </cell>
          <cell r="C27" t="str">
            <v xml:space="preserve">Penutup atap genteng metal </v>
          </cell>
          <cell r="F27" t="str">
            <v>m2</v>
          </cell>
          <cell r="G27">
            <v>67500</v>
          </cell>
        </row>
        <row r="28">
          <cell r="B28" t="str">
            <v>B.20</v>
          </cell>
          <cell r="C28" t="str">
            <v>Bubungan atap metal</v>
          </cell>
          <cell r="F28" t="str">
            <v>m'</v>
          </cell>
          <cell r="G28">
            <v>42500</v>
          </cell>
        </row>
        <row r="29">
          <cell r="B29" t="str">
            <v>B.21</v>
          </cell>
          <cell r="C29" t="str">
            <v>Ready mix K.300</v>
          </cell>
          <cell r="F29" t="str">
            <v>m3</v>
          </cell>
          <cell r="G29">
            <v>700000</v>
          </cell>
        </row>
        <row r="30">
          <cell r="B30" t="str">
            <v>B.22</v>
          </cell>
          <cell r="C30" t="str">
            <v>Ready mix K.125</v>
          </cell>
          <cell r="F30" t="str">
            <v>m3</v>
          </cell>
          <cell r="G30">
            <v>520000</v>
          </cell>
        </row>
        <row r="31">
          <cell r="B31" t="str">
            <v>B.23</v>
          </cell>
          <cell r="C31" t="str">
            <v>Additive</v>
          </cell>
          <cell r="F31" t="str">
            <v>Ls</v>
          </cell>
          <cell r="G31">
            <v>15500</v>
          </cell>
        </row>
        <row r="32">
          <cell r="B32" t="str">
            <v>B.24</v>
          </cell>
          <cell r="C32" t="str">
            <v>Curring Compound</v>
          </cell>
          <cell r="F32" t="str">
            <v>Ls</v>
          </cell>
          <cell r="G32">
            <v>12000</v>
          </cell>
        </row>
        <row r="33">
          <cell r="B33" t="str">
            <v>B.25</v>
          </cell>
        </row>
        <row r="34">
          <cell r="B34" t="str">
            <v>B.26</v>
          </cell>
        </row>
        <row r="35">
          <cell r="B35" t="str">
            <v>B.27</v>
          </cell>
        </row>
        <row r="38">
          <cell r="B38" t="str">
            <v>HARGA SATUAN DASAR UPAH</v>
          </cell>
        </row>
        <row r="39">
          <cell r="B39" t="str">
            <v>PEMBANGUNAN GEDUNG KEUANGAN NEGARA BANDA ACEH</v>
          </cell>
        </row>
        <row r="40">
          <cell r="B40" t="str">
            <v>TAHAP - I (PERTAMA)</v>
          </cell>
        </row>
        <row r="42">
          <cell r="B42" t="str">
            <v>NO.</v>
          </cell>
          <cell r="C42" t="str">
            <v>URAIAN</v>
          </cell>
          <cell r="F42" t="str">
            <v>SAT</v>
          </cell>
          <cell r="G42" t="str">
            <v>HARGA SATUAN (Rp.)</v>
          </cell>
          <cell r="H42" t="str">
            <v>KET.</v>
          </cell>
        </row>
        <row r="44">
          <cell r="C44" t="str">
            <v>UPAH</v>
          </cell>
        </row>
        <row r="45">
          <cell r="B45" t="str">
            <v>U.1</v>
          </cell>
          <cell r="C45" t="str">
            <v>Mandor</v>
          </cell>
          <cell r="F45" t="str">
            <v>hari</v>
          </cell>
          <cell r="G45">
            <v>65000</v>
          </cell>
        </row>
        <row r="46">
          <cell r="B46" t="str">
            <v>U.2</v>
          </cell>
          <cell r="C46" t="str">
            <v>Tukang</v>
          </cell>
          <cell r="F46" t="str">
            <v>hari</v>
          </cell>
          <cell r="G46">
            <v>60000</v>
          </cell>
        </row>
        <row r="47">
          <cell r="B47" t="str">
            <v>U.3</v>
          </cell>
          <cell r="C47" t="str">
            <v>Pekerja</v>
          </cell>
          <cell r="F47" t="str">
            <v>hari</v>
          </cell>
          <cell r="G47">
            <v>45000</v>
          </cell>
        </row>
        <row r="48">
          <cell r="B48" t="str">
            <v>U.4</v>
          </cell>
          <cell r="C48" t="str">
            <v>Upah Galian manual</v>
          </cell>
          <cell r="F48" t="str">
            <v>m3</v>
          </cell>
          <cell r="G48">
            <v>18000</v>
          </cell>
        </row>
        <row r="49">
          <cell r="B49" t="str">
            <v>U.5</v>
          </cell>
          <cell r="C49" t="str">
            <v>Upah Urug Pasir</v>
          </cell>
          <cell r="F49" t="str">
            <v>m3</v>
          </cell>
          <cell r="G49">
            <v>20000</v>
          </cell>
        </row>
        <row r="50">
          <cell r="B50" t="str">
            <v>U.6</v>
          </cell>
          <cell r="C50" t="str">
            <v>Upah Lantai Kerja</v>
          </cell>
          <cell r="F50" t="str">
            <v>m3</v>
          </cell>
          <cell r="G50">
            <v>30000</v>
          </cell>
        </row>
        <row r="51">
          <cell r="B51" t="str">
            <v>U.7</v>
          </cell>
          <cell r="C51" t="str">
            <v>Upah Pas. Bata</v>
          </cell>
          <cell r="F51" t="str">
            <v>m2</v>
          </cell>
          <cell r="G51">
            <v>15000</v>
          </cell>
        </row>
        <row r="52">
          <cell r="B52" t="str">
            <v>U.8</v>
          </cell>
          <cell r="C52" t="str">
            <v>Pemancangan T.Pancang</v>
          </cell>
          <cell r="F52" t="str">
            <v>m</v>
          </cell>
          <cell r="G52">
            <v>85000</v>
          </cell>
        </row>
        <row r="53">
          <cell r="B53" t="str">
            <v>U.9</v>
          </cell>
          <cell r="C53" t="str">
            <v>Upah Pembesian</v>
          </cell>
          <cell r="F53" t="str">
            <v>Kg</v>
          </cell>
          <cell r="G53">
            <v>600</v>
          </cell>
        </row>
        <row r="54">
          <cell r="B54" t="str">
            <v>U.10</v>
          </cell>
          <cell r="C54" t="str">
            <v>Upah Cor u. Pondasi</v>
          </cell>
          <cell r="F54" t="str">
            <v>m3</v>
          </cell>
          <cell r="G54">
            <v>35000</v>
          </cell>
        </row>
        <row r="55">
          <cell r="B55" t="str">
            <v>U.11</v>
          </cell>
          <cell r="C55" t="str">
            <v>Upah Urug Kembali</v>
          </cell>
          <cell r="F55" t="str">
            <v>m3</v>
          </cell>
          <cell r="G55">
            <v>10000</v>
          </cell>
        </row>
        <row r="56">
          <cell r="B56" t="str">
            <v>U.12</v>
          </cell>
          <cell r="C56" t="str">
            <v>Pemotongan T.Pancang</v>
          </cell>
          <cell r="F56" t="str">
            <v>Ttk</v>
          </cell>
          <cell r="G56">
            <v>30000</v>
          </cell>
        </row>
        <row r="57">
          <cell r="B57" t="str">
            <v>U.13</v>
          </cell>
          <cell r="C57" t="str">
            <v>Pasang Batu kali</v>
          </cell>
          <cell r="F57" t="str">
            <v>m3</v>
          </cell>
          <cell r="G57">
            <v>40000</v>
          </cell>
        </row>
        <row r="58">
          <cell r="B58" t="str">
            <v>U.14</v>
          </cell>
          <cell r="C58" t="str">
            <v>Upah Timbun &amp; Pemadatan</v>
          </cell>
          <cell r="F58" t="str">
            <v>m3</v>
          </cell>
          <cell r="G58">
            <v>10000</v>
          </cell>
        </row>
        <row r="59">
          <cell r="B59" t="str">
            <v>U.15</v>
          </cell>
          <cell r="C59" t="str">
            <v>Upah Bekesting Kolom</v>
          </cell>
          <cell r="F59" t="str">
            <v>m2</v>
          </cell>
          <cell r="G59">
            <v>30000</v>
          </cell>
        </row>
        <row r="60">
          <cell r="B60" t="str">
            <v>U.16</v>
          </cell>
          <cell r="C60" t="str">
            <v>Upah Cor Kolom</v>
          </cell>
          <cell r="F60" t="str">
            <v>m3</v>
          </cell>
          <cell r="G60">
            <v>60000</v>
          </cell>
        </row>
        <row r="61">
          <cell r="B61" t="str">
            <v>U.17</v>
          </cell>
          <cell r="C61" t="str">
            <v>Upah Pembesian KP/RBP</v>
          </cell>
          <cell r="F61" t="str">
            <v>m'</v>
          </cell>
          <cell r="G61">
            <v>2500</v>
          </cell>
        </row>
        <row r="62">
          <cell r="B62" t="str">
            <v>U.18</v>
          </cell>
          <cell r="C62" t="str">
            <v>Upah Bekesting KP/RBP</v>
          </cell>
          <cell r="F62" t="str">
            <v>m2</v>
          </cell>
          <cell r="G62">
            <v>20000</v>
          </cell>
        </row>
        <row r="63">
          <cell r="B63" t="str">
            <v>U.19</v>
          </cell>
          <cell r="C63" t="str">
            <v>Upah Cor KP/RBP</v>
          </cell>
          <cell r="F63" t="str">
            <v>m3</v>
          </cell>
          <cell r="G63">
            <v>35000</v>
          </cell>
        </row>
        <row r="64">
          <cell r="B64" t="str">
            <v>U.20</v>
          </cell>
          <cell r="C64" t="str">
            <v>Upah Pas. Water proofing</v>
          </cell>
          <cell r="F64" t="str">
            <v>m2</v>
          </cell>
          <cell r="G64">
            <v>5000</v>
          </cell>
        </row>
        <row r="65">
          <cell r="B65" t="str">
            <v>U.21</v>
          </cell>
          <cell r="C65" t="str">
            <v>Upah Pas. Screed</v>
          </cell>
          <cell r="F65" t="str">
            <v>m2</v>
          </cell>
          <cell r="G65">
            <v>10000</v>
          </cell>
        </row>
        <row r="66">
          <cell r="B66" t="str">
            <v>U.22</v>
          </cell>
          <cell r="C66" t="str">
            <v>Upah Bekesting Balok/Plat</v>
          </cell>
          <cell r="F66" t="str">
            <v>m2</v>
          </cell>
          <cell r="G66">
            <v>25000</v>
          </cell>
        </row>
        <row r="67">
          <cell r="B67" t="str">
            <v>U.23</v>
          </cell>
          <cell r="C67" t="str">
            <v>Upah Cor Balok/Plat</v>
          </cell>
          <cell r="F67" t="str">
            <v>m3</v>
          </cell>
          <cell r="G67">
            <v>25000</v>
          </cell>
        </row>
        <row r="68">
          <cell r="B68" t="str">
            <v>U.24</v>
          </cell>
          <cell r="C68" t="str">
            <v>Upah Bekesting Tangga</v>
          </cell>
          <cell r="F68" t="str">
            <v>m2</v>
          </cell>
          <cell r="G68">
            <v>25000</v>
          </cell>
        </row>
        <row r="69">
          <cell r="B69" t="str">
            <v>U.25</v>
          </cell>
          <cell r="C69" t="str">
            <v>Upah Cor Tangga</v>
          </cell>
          <cell r="F69" t="str">
            <v>m3</v>
          </cell>
          <cell r="G69">
            <v>30000</v>
          </cell>
        </row>
        <row r="70">
          <cell r="B70" t="str">
            <v>U.26</v>
          </cell>
          <cell r="C70" t="str">
            <v>Upah Pasang Batu Bata</v>
          </cell>
          <cell r="F70" t="str">
            <v>m2</v>
          </cell>
          <cell r="G70">
            <v>15000</v>
          </cell>
        </row>
        <row r="71">
          <cell r="B71" t="str">
            <v>U.27</v>
          </cell>
          <cell r="C71" t="str">
            <v>Upah Plesteran</v>
          </cell>
          <cell r="F71" t="str">
            <v>m2</v>
          </cell>
          <cell r="G71">
            <v>14500</v>
          </cell>
        </row>
        <row r="72">
          <cell r="B72" t="str">
            <v>U.28</v>
          </cell>
          <cell r="C72" t="str">
            <v xml:space="preserve">Upah Acian </v>
          </cell>
          <cell r="F72" t="str">
            <v>m2</v>
          </cell>
          <cell r="G72">
            <v>10000</v>
          </cell>
        </row>
        <row r="73">
          <cell r="B73" t="str">
            <v>U.29</v>
          </cell>
          <cell r="C73" t="str">
            <v>Upah Bekesting Pondasi Tapak</v>
          </cell>
          <cell r="F73" t="str">
            <v>m2</v>
          </cell>
          <cell r="G73">
            <v>10000</v>
          </cell>
        </row>
        <row r="74">
          <cell r="B74" t="str">
            <v>U.30</v>
          </cell>
          <cell r="C74" t="str">
            <v>Upah Bekesting Diding Vertikal</v>
          </cell>
          <cell r="F74" t="str">
            <v>m2</v>
          </cell>
          <cell r="G74">
            <v>30000</v>
          </cell>
        </row>
        <row r="75">
          <cell r="B75" t="str">
            <v>U.31</v>
          </cell>
          <cell r="C75" t="str">
            <v>Upah Cor Dinding Vertikal</v>
          </cell>
          <cell r="F75" t="str">
            <v>m3</v>
          </cell>
          <cell r="G75">
            <v>50000</v>
          </cell>
        </row>
        <row r="81">
          <cell r="B81" t="str">
            <v>HARGA SATUAN SEWA PERALATAN</v>
          </cell>
        </row>
        <row r="82">
          <cell r="B82" t="str">
            <v>PEMBANGUNAN GEDUNG KEUANGAN NEGARA BANDA ACEH</v>
          </cell>
        </row>
        <row r="83">
          <cell r="B83" t="str">
            <v>TAHAP - I (PERTAMA)</v>
          </cell>
        </row>
        <row r="85">
          <cell r="B85" t="str">
            <v>NO.</v>
          </cell>
          <cell r="C85" t="str">
            <v>URAIAN</v>
          </cell>
          <cell r="F85" t="str">
            <v>SAT</v>
          </cell>
          <cell r="G85" t="str">
            <v>HARGA SATUAN (Rp.)</v>
          </cell>
          <cell r="H85" t="str">
            <v>KET.</v>
          </cell>
        </row>
        <row r="87">
          <cell r="C87" t="str">
            <v>PERALATAN</v>
          </cell>
        </row>
        <row r="88">
          <cell r="B88" t="str">
            <v>A.2</v>
          </cell>
          <cell r="C88" t="str">
            <v>Stamper</v>
          </cell>
          <cell r="F88" t="str">
            <v>Jam</v>
          </cell>
          <cell r="G88">
            <v>25000</v>
          </cell>
          <cell r="H88">
            <v>25000</v>
          </cell>
        </row>
        <row r="89">
          <cell r="B89" t="str">
            <v>A.3</v>
          </cell>
          <cell r="C89" t="str">
            <v>Beton Molen</v>
          </cell>
          <cell r="F89" t="str">
            <v>Jam</v>
          </cell>
          <cell r="G89">
            <v>12500</v>
          </cell>
          <cell r="H89">
            <v>12500</v>
          </cell>
        </row>
        <row r="90">
          <cell r="B90" t="str">
            <v>A.4</v>
          </cell>
          <cell r="C90" t="str">
            <v>Concrete Vibrator</v>
          </cell>
          <cell r="F90" t="str">
            <v>Jam</v>
          </cell>
          <cell r="G90">
            <v>20000</v>
          </cell>
          <cell r="H90">
            <v>20000</v>
          </cell>
        </row>
        <row r="91">
          <cell r="B91" t="str">
            <v>A.5</v>
          </cell>
          <cell r="C91" t="str">
            <v>Pipe Support u. Kolom Bang.A</v>
          </cell>
          <cell r="F91" t="str">
            <v>Ls</v>
          </cell>
          <cell r="G91">
            <v>6810</v>
          </cell>
          <cell r="H91">
            <v>6810</v>
          </cell>
        </row>
        <row r="92">
          <cell r="B92" t="str">
            <v>A.6</v>
          </cell>
          <cell r="C92" t="str">
            <v>Pipe Support u. Kolom Bang.B/C</v>
          </cell>
          <cell r="F92" t="str">
            <v>Ls</v>
          </cell>
          <cell r="G92">
            <v>7499.9999999999991</v>
          </cell>
          <cell r="H92">
            <v>7500</v>
          </cell>
        </row>
        <row r="93">
          <cell r="B93" t="str">
            <v>A.7</v>
          </cell>
          <cell r="C93" t="str">
            <v>Scafolding u. Balok Bang.A</v>
          </cell>
          <cell r="F93" t="str">
            <v>Ls</v>
          </cell>
          <cell r="G93">
            <v>33050</v>
          </cell>
          <cell r="H93">
            <v>33050</v>
          </cell>
        </row>
        <row r="94">
          <cell r="B94" t="str">
            <v>A.8</v>
          </cell>
          <cell r="C94" t="str">
            <v>P.Support &gt;14 Hari u.Balok Bang.A</v>
          </cell>
          <cell r="F94" t="str">
            <v>Ls</v>
          </cell>
          <cell r="G94">
            <v>8425.9752733460937</v>
          </cell>
          <cell r="H94">
            <v>8425.9752733460937</v>
          </cell>
        </row>
        <row r="95">
          <cell r="B95" t="str">
            <v>A.9</v>
          </cell>
          <cell r="C95" t="str">
            <v>Scafolding u. Balok Bang.B/C</v>
          </cell>
          <cell r="F95" t="str">
            <v>Ls</v>
          </cell>
          <cell r="G95">
            <v>25814.69639899741</v>
          </cell>
          <cell r="H95">
            <v>25814.69639899741</v>
          </cell>
        </row>
        <row r="96">
          <cell r="B96" t="str">
            <v>A.10</v>
          </cell>
          <cell r="C96" t="str">
            <v>P.Support &gt;14 Hari u.Balok Bang.B/C</v>
          </cell>
          <cell r="F96" t="str">
            <v>Ls</v>
          </cell>
          <cell r="G96">
            <v>7879.2687203730056</v>
          </cell>
          <cell r="H96">
            <v>7879.2687203730056</v>
          </cell>
        </row>
        <row r="97">
          <cell r="B97" t="str">
            <v>A.11</v>
          </cell>
          <cell r="C97" t="str">
            <v>Concrete Pump</v>
          </cell>
          <cell r="F97" t="str">
            <v>m3</v>
          </cell>
          <cell r="G97">
            <v>50000</v>
          </cell>
          <cell r="H97">
            <v>45000</v>
          </cell>
        </row>
        <row r="98">
          <cell r="B98" t="str">
            <v>A.12</v>
          </cell>
          <cell r="C98" t="str">
            <v>Scafolding u. Plat Bang.A</v>
          </cell>
          <cell r="F98" t="str">
            <v>Ls</v>
          </cell>
          <cell r="G98">
            <v>12095.50577541466</v>
          </cell>
          <cell r="H98">
            <v>12095.50577541466</v>
          </cell>
        </row>
        <row r="99">
          <cell r="B99" t="str">
            <v>A.13</v>
          </cell>
          <cell r="C99" t="str">
            <v>P.Support &gt;14 Hari u.Plat Bang.A</v>
          </cell>
          <cell r="F99" t="str">
            <v>Ls</v>
          </cell>
          <cell r="G99">
            <v>9983.5920685962265</v>
          </cell>
          <cell r="H99">
            <v>9983.5920685962265</v>
          </cell>
        </row>
        <row r="100">
          <cell r="B100" t="str">
            <v>A.14</v>
          </cell>
          <cell r="C100" t="str">
            <v>Scafolding u. Plat Bang.B/C</v>
          </cell>
          <cell r="F100" t="str">
            <v>Ls</v>
          </cell>
          <cell r="G100">
            <v>10204.376366284283</v>
          </cell>
          <cell r="H100">
            <v>10204.376366284283</v>
          </cell>
        </row>
        <row r="101">
          <cell r="B101" t="str">
            <v>A.15</v>
          </cell>
          <cell r="C101" t="str">
            <v>P.Support &gt;14 Hari u.Plat Bang.B/C</v>
          </cell>
          <cell r="F101" t="str">
            <v>Ls</v>
          </cell>
          <cell r="G101">
            <v>13382.147841243683</v>
          </cell>
          <cell r="H101">
            <v>13382.147841243683</v>
          </cell>
        </row>
        <row r="102">
          <cell r="B102" t="str">
            <v>A.16</v>
          </cell>
          <cell r="C102" t="str">
            <v>Support u. Beton Tangga</v>
          </cell>
          <cell r="F102" t="str">
            <v>Ls</v>
          </cell>
          <cell r="G102">
            <v>20000</v>
          </cell>
          <cell r="H102">
            <v>20000</v>
          </cell>
        </row>
        <row r="103">
          <cell r="B103" t="str">
            <v>A.17</v>
          </cell>
          <cell r="C103" t="str">
            <v>Excavator</v>
          </cell>
          <cell r="F103" t="str">
            <v>Jam</v>
          </cell>
          <cell r="G103">
            <v>417500</v>
          </cell>
          <cell r="H103">
            <v>417500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BOQ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>
        <row r="8">
          <cell r="F8">
            <v>5000</v>
          </cell>
        </row>
        <row r="9">
          <cell r="F9">
            <v>8571.4285714285706</v>
          </cell>
        </row>
        <row r="10">
          <cell r="F10">
            <v>8714.2857142857138</v>
          </cell>
        </row>
        <row r="53">
          <cell r="F53">
            <v>313780.95962414716</v>
          </cell>
        </row>
        <row r="54">
          <cell r="F54">
            <v>313780.95962414716</v>
          </cell>
        </row>
        <row r="60">
          <cell r="F60">
            <v>10159.878000000001</v>
          </cell>
        </row>
        <row r="62">
          <cell r="F62">
            <v>6600</v>
          </cell>
        </row>
        <row r="63">
          <cell r="F63">
            <v>62800</v>
          </cell>
        </row>
        <row r="68">
          <cell r="F68">
            <v>201800</v>
          </cell>
        </row>
        <row r="71">
          <cell r="F71">
            <v>10000</v>
          </cell>
        </row>
        <row r="72">
          <cell r="F72">
            <v>1250000</v>
          </cell>
        </row>
        <row r="79">
          <cell r="F79">
            <v>289197.36378100881</v>
          </cell>
        </row>
        <row r="80">
          <cell r="F80">
            <v>271868.66119518824</v>
          </cell>
        </row>
        <row r="92">
          <cell r="F92">
            <v>1436287.5086616194</v>
          </cell>
        </row>
        <row r="93">
          <cell r="F93">
            <v>12500</v>
          </cell>
        </row>
        <row r="100">
          <cell r="F100">
            <v>129900</v>
          </cell>
        </row>
        <row r="103">
          <cell r="F103">
            <v>1014307.7645066389</v>
          </cell>
        </row>
        <row r="104">
          <cell r="F104">
            <v>11000</v>
          </cell>
        </row>
      </sheetData>
      <sheetData sheetId="12" refreshError="1"/>
      <sheetData sheetId="13" refreshError="1"/>
      <sheetData sheetId="14">
        <row r="9">
          <cell r="AW9">
            <v>300787.08352182875</v>
          </cell>
        </row>
        <row r="12">
          <cell r="AW12">
            <v>144312.9850191994</v>
          </cell>
        </row>
        <row r="13">
          <cell r="AW13">
            <v>85403.799999999988</v>
          </cell>
        </row>
        <row r="14">
          <cell r="AW14">
            <v>445959.3265606974</v>
          </cell>
        </row>
        <row r="15">
          <cell r="AW15">
            <v>234488.10456187683</v>
          </cell>
        </row>
        <row r="16">
          <cell r="AW16">
            <v>401635.43087512313</v>
          </cell>
        </row>
        <row r="17">
          <cell r="AW17">
            <v>384163.03410029551</v>
          </cell>
        </row>
        <row r="18">
          <cell r="AW18">
            <v>382428.92723472411</v>
          </cell>
        </row>
        <row r="20">
          <cell r="AW20">
            <v>401108.56608175358</v>
          </cell>
        </row>
        <row r="22">
          <cell r="AW22">
            <v>347470.30373142357</v>
          </cell>
        </row>
        <row r="23">
          <cell r="AW23">
            <v>176108.85500413002</v>
          </cell>
        </row>
        <row r="24">
          <cell r="AW24">
            <v>244962.44703251612</v>
          </cell>
        </row>
        <row r="26">
          <cell r="AW26">
            <v>259627.17745912666</v>
          </cell>
        </row>
        <row r="29">
          <cell r="AW29">
            <v>39156.107186016401</v>
          </cell>
        </row>
        <row r="30">
          <cell r="AW30">
            <v>225494.94168084295</v>
          </cell>
        </row>
        <row r="34">
          <cell r="AW34">
            <v>821698.04815772467</v>
          </cell>
        </row>
        <row r="36">
          <cell r="AW36">
            <v>398258.50574747165</v>
          </cell>
        </row>
        <row r="38">
          <cell r="AW38">
            <v>445609.03544891451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HAN"/>
      <sheetName val="Hrg Sat Pek"/>
      <sheetName val="Hrg"/>
      <sheetName val="REKAP"/>
      <sheetName val="RAB-II"/>
      <sheetName val="ans"/>
      <sheetName val="Bobot1"/>
      <sheetName val="Bobot(2)"/>
      <sheetName val="Bobot(3)"/>
      <sheetName val="Bobot(4)"/>
      <sheetName val="Bobot(5)"/>
      <sheetName val="Bobot(6)"/>
      <sheetName val="Bobot(7)"/>
      <sheetName val="Bobot(8)"/>
      <sheetName val="Bobot(9)"/>
      <sheetName val="Bobot(10)"/>
      <sheetName val="Bobot(11)"/>
      <sheetName val="Bobot(12)"/>
      <sheetName val="Bobot(13)"/>
      <sheetName val="Bobot(14)"/>
      <sheetName val="Bobot(15)"/>
      <sheetName val="Bobot(16)"/>
      <sheetName val="SCHD (3)"/>
      <sheetName val="Bobot(17)"/>
      <sheetName val="Bobot(18)"/>
      <sheetName val="Bobot(19)"/>
      <sheetName val="Bobot(20)"/>
      <sheetName val="Bobot(21)"/>
      <sheetName val="Bobot(22)"/>
      <sheetName val="Bobot(23)"/>
      <sheetName val="Bobot(24)"/>
      <sheetName val="Bobot(25)"/>
      <sheetName val="Bobot(26)"/>
      <sheetName val="Bobot(27)"/>
      <sheetName val="Bobot(28)"/>
      <sheetName val="Bobot(29)"/>
      <sheetName val="Bobot(30)"/>
      <sheetName val="Bobot(31)"/>
      <sheetName val="Bobot(3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duk"/>
      <sheetName val="Kelengkapan"/>
      <sheetName val="Penawaran"/>
      <sheetName val="Jadwal Pelaksanaan"/>
      <sheetName val="Jadwal Alat"/>
      <sheetName val="Rekapitulasi"/>
      <sheetName val="Kuantitas &amp; Harga"/>
      <sheetName val="Anl. Tehnis"/>
      <sheetName val="Analisa"/>
      <sheetName val="Harga Satuan"/>
      <sheetName val="Anl. Mobilisasi"/>
      <sheetName val="Anl Pem Rutin"/>
      <sheetName val="Kap.Pemecah Batu"/>
      <sheetName val="Kapasitas AMP"/>
      <sheetName val="MP. Utama"/>
      <sheetName val="Peralatan"/>
      <sheetName val="Subkon"/>
      <sheetName val="Staf Inti"/>
      <sheetName val="Metode Bgn"/>
      <sheetName val="Metode Jln"/>
      <sheetName val="Mat On Site"/>
      <sheetName val="Kulit"/>
      <sheetName val="Hrg"/>
      <sheetName val="N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8">
          <cell r="I48">
            <v>869343111</v>
          </cell>
        </row>
        <row r="59">
          <cell r="I59">
            <v>117035320.5</v>
          </cell>
        </row>
        <row r="69">
          <cell r="I69">
            <v>1809934778.925</v>
          </cell>
        </row>
        <row r="82">
          <cell r="I82">
            <v>597983634</v>
          </cell>
        </row>
        <row r="106">
          <cell r="I106">
            <v>329588793.71899998</v>
          </cell>
        </row>
        <row r="138">
          <cell r="I138">
            <v>29856040.600000001</v>
          </cell>
        </row>
        <row r="176">
          <cell r="I176">
            <v>0</v>
          </cell>
        </row>
      </sheetData>
      <sheetData sheetId="7" refreshError="1"/>
      <sheetData sheetId="8" refreshError="1"/>
      <sheetData sheetId="9" refreshError="1"/>
      <sheetData sheetId="10" refreshError="1">
        <row r="57">
          <cell r="K57">
            <v>97800000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>
        <row r="46">
          <cell r="J46">
            <v>275428.96000000002</v>
          </cell>
        </row>
        <row r="54">
          <cell r="J54">
            <v>130693.91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238">
          <cell r="A238" t="str">
            <v>URAIAN ANALISA ALAT</v>
          </cell>
        </row>
        <row r="241">
          <cell r="A241" t="str">
            <v>No.</v>
          </cell>
          <cell r="C241" t="str">
            <v>U R A I A N</v>
          </cell>
          <cell r="G241" t="str">
            <v>KODE</v>
          </cell>
          <cell r="H241" t="str">
            <v>KOEF.</v>
          </cell>
          <cell r="I241" t="str">
            <v>SATUAN</v>
          </cell>
          <cell r="J241" t="str">
            <v>KET.</v>
          </cell>
        </row>
        <row r="244">
          <cell r="A244" t="str">
            <v>A.</v>
          </cell>
          <cell r="C244" t="str">
            <v>URAIAN PERALATAN</v>
          </cell>
        </row>
        <row r="245">
          <cell r="A245" t="str">
            <v xml:space="preserve">       1.</v>
          </cell>
          <cell r="C245" t="str">
            <v>Jenis Peralatan</v>
          </cell>
          <cell r="G245" t="str">
            <v>GENERATOR SET</v>
          </cell>
          <cell r="J245" t="str">
            <v>E12</v>
          </cell>
        </row>
        <row r="246">
          <cell r="A246" t="str">
            <v xml:space="preserve">       2.</v>
          </cell>
          <cell r="C246" t="str">
            <v>Tenaga</v>
          </cell>
          <cell r="G246" t="str">
            <v>Pw</v>
          </cell>
          <cell r="H246">
            <v>175</v>
          </cell>
          <cell r="I246" t="str">
            <v>HP</v>
          </cell>
        </row>
        <row r="247">
          <cell r="A247" t="str">
            <v xml:space="preserve">       3.</v>
          </cell>
          <cell r="C247" t="str">
            <v>Kapasitas</v>
          </cell>
          <cell r="G247" t="str">
            <v>Cp</v>
          </cell>
          <cell r="H247">
            <v>125</v>
          </cell>
          <cell r="I247" t="str">
            <v>KVA</v>
          </cell>
        </row>
        <row r="248">
          <cell r="A248" t="str">
            <v xml:space="preserve">       4.</v>
          </cell>
          <cell r="C248" t="str">
            <v>Alat Baru                :</v>
          </cell>
          <cell r="D248" t="str">
            <v xml:space="preserve">  a.  Umur Ekonomis</v>
          </cell>
          <cell r="G248" t="str">
            <v>A</v>
          </cell>
          <cell r="H248">
            <v>5</v>
          </cell>
          <cell r="I248" t="str">
            <v>Tahun</v>
          </cell>
        </row>
        <row r="249">
          <cell r="D249" t="str">
            <v xml:space="preserve">  b.  Jam Kerja Dalam 1 Tahun</v>
          </cell>
          <cell r="G249" t="str">
            <v>W</v>
          </cell>
          <cell r="H249">
            <v>2000</v>
          </cell>
          <cell r="I249" t="str">
            <v>Jam</v>
          </cell>
        </row>
        <row r="250">
          <cell r="D250" t="str">
            <v xml:space="preserve">  c.  Harga Alat</v>
          </cell>
          <cell r="G250" t="str">
            <v>B</v>
          </cell>
          <cell r="H250">
            <v>128000000</v>
          </cell>
          <cell r="I250" t="str">
            <v>Rupiah</v>
          </cell>
        </row>
        <row r="251">
          <cell r="A251" t="str">
            <v xml:space="preserve">       5.</v>
          </cell>
          <cell r="C251" t="str">
            <v>Alat Yang Dipakai  :</v>
          </cell>
          <cell r="D251" t="str">
            <v xml:space="preserve">  a.  Umur Ekonomis</v>
          </cell>
          <cell r="G251" t="str">
            <v>A'</v>
          </cell>
          <cell r="H251">
            <v>5</v>
          </cell>
          <cell r="I251" t="str">
            <v>Tahun</v>
          </cell>
          <cell r="J251" t="str">
            <v xml:space="preserve"> Alat Baru</v>
          </cell>
        </row>
        <row r="252">
          <cell r="D252" t="str">
            <v xml:space="preserve">  b.  Jam Kerja Dalam 1 Tahun </v>
          </cell>
          <cell r="G252" t="str">
            <v>W'</v>
          </cell>
          <cell r="H252">
            <v>2000</v>
          </cell>
          <cell r="I252" t="str">
            <v>Jam</v>
          </cell>
          <cell r="J252" t="str">
            <v xml:space="preserve"> Alat Baru</v>
          </cell>
        </row>
        <row r="253">
          <cell r="D253" t="str">
            <v xml:space="preserve">  c.  Harga Alat   (*)</v>
          </cell>
          <cell r="G253" t="str">
            <v>B'</v>
          </cell>
          <cell r="H253">
            <v>128000000</v>
          </cell>
          <cell r="I253" t="str">
            <v>Rupiah</v>
          </cell>
          <cell r="J253" t="str">
            <v xml:space="preserve"> Alat Baru</v>
          </cell>
        </row>
        <row r="255">
          <cell r="A255" t="str">
            <v>B.</v>
          </cell>
          <cell r="C255" t="str">
            <v>BIAYA PASTI PER JAM KERJA</v>
          </cell>
        </row>
        <row r="256">
          <cell r="A256" t="str">
            <v xml:space="preserve">       1.</v>
          </cell>
          <cell r="C256" t="str">
            <v>Nilai Sisa Alat</v>
          </cell>
          <cell r="D256" t="str">
            <v>=  10 % x B</v>
          </cell>
          <cell r="G256" t="str">
            <v>C</v>
          </cell>
          <cell r="H256">
            <v>12800000</v>
          </cell>
          <cell r="I256" t="str">
            <v>Rupiah</v>
          </cell>
        </row>
        <row r="258">
          <cell r="A258" t="str">
            <v xml:space="preserve">       2.</v>
          </cell>
          <cell r="C258" t="str">
            <v>Faktor Angsuran Modal    =</v>
          </cell>
          <cell r="E258" t="str">
            <v>i x (1 + i)^A'</v>
          </cell>
          <cell r="G258" t="str">
            <v>D</v>
          </cell>
          <cell r="H258">
            <v>0.33437970328961514</v>
          </cell>
          <cell r="I258" t="str">
            <v>-</v>
          </cell>
        </row>
        <row r="259">
          <cell r="E259" t="str">
            <v>(1 + i)^A' - 1</v>
          </cell>
        </row>
        <row r="260">
          <cell r="A260" t="str">
            <v xml:space="preserve">       3.</v>
          </cell>
          <cell r="C260" t="str">
            <v>Biaya Pasti per Jam  :</v>
          </cell>
        </row>
        <row r="261">
          <cell r="C261" t="str">
            <v>a.  Biaya Pengembalian Modal  =</v>
          </cell>
          <cell r="E261" t="str">
            <v>( B' - C ) x D</v>
          </cell>
          <cell r="G261" t="str">
            <v>E</v>
          </cell>
          <cell r="H261">
            <v>19260.270909481831</v>
          </cell>
          <cell r="I261" t="str">
            <v>Rupiah</v>
          </cell>
        </row>
        <row r="262">
          <cell r="E262" t="str">
            <v>W'</v>
          </cell>
        </row>
        <row r="264">
          <cell r="C264" t="str">
            <v>b.  Asuransi, dll =</v>
          </cell>
          <cell r="D264">
            <v>2E-3</v>
          </cell>
          <cell r="E264" t="str">
            <v xml:space="preserve">  x   B'</v>
          </cell>
          <cell r="G264" t="str">
            <v>F</v>
          </cell>
          <cell r="H264">
            <v>128</v>
          </cell>
          <cell r="I264" t="str">
            <v>Rupiah</v>
          </cell>
        </row>
        <row r="265">
          <cell r="E265" t="str">
            <v>W'</v>
          </cell>
        </row>
        <row r="267">
          <cell r="C267" t="str">
            <v>Biaya Pasti per Jam             =</v>
          </cell>
          <cell r="E267" t="str">
            <v>( E + F )</v>
          </cell>
          <cell r="G267" t="str">
            <v>G</v>
          </cell>
          <cell r="H267">
            <v>19388.270909481831</v>
          </cell>
          <cell r="I267" t="str">
            <v>Rupiah</v>
          </cell>
        </row>
        <row r="269">
          <cell r="A269" t="str">
            <v>C.</v>
          </cell>
          <cell r="C269" t="str">
            <v>BIAYA OPERASI PER JAM KERJA</v>
          </cell>
        </row>
        <row r="271">
          <cell r="A271" t="str">
            <v xml:space="preserve">       1.</v>
          </cell>
          <cell r="C271" t="str">
            <v xml:space="preserve">Bahan Bakar  =  (0.125-0.175 Ltr/HP/Jam)   x Pw x Ms </v>
          </cell>
          <cell r="G271" t="str">
            <v>H</v>
          </cell>
          <cell r="H271">
            <v>90781.25</v>
          </cell>
          <cell r="I271" t="str">
            <v>Rupiah</v>
          </cell>
        </row>
        <row r="273">
          <cell r="A273" t="str">
            <v xml:space="preserve">       2.</v>
          </cell>
          <cell r="C273" t="str">
            <v>Pelumas         =  (0.01-0.02 Ltr/HP/Jam) x Pw x Mp</v>
          </cell>
          <cell r="G273" t="str">
            <v>I</v>
          </cell>
          <cell r="H273">
            <v>52500</v>
          </cell>
          <cell r="I273" t="str">
            <v>Rupiah</v>
          </cell>
        </row>
        <row r="275">
          <cell r="A275" t="str">
            <v xml:space="preserve">       3.</v>
          </cell>
          <cell r="C275" t="str">
            <v>Perawatan dan</v>
          </cell>
          <cell r="D275" t="str">
            <v>(12,5 % - 17,5 %)  x  B'</v>
          </cell>
          <cell r="G275" t="str">
            <v>K</v>
          </cell>
          <cell r="H275">
            <v>8000</v>
          </cell>
          <cell r="I275" t="str">
            <v>Rupiah</v>
          </cell>
        </row>
        <row r="276">
          <cell r="C276" t="str">
            <v xml:space="preserve">        perbaikan    =</v>
          </cell>
          <cell r="D276" t="str">
            <v>W'</v>
          </cell>
        </row>
        <row r="278">
          <cell r="A278" t="str">
            <v xml:space="preserve">       4.</v>
          </cell>
          <cell r="C278" t="str">
            <v>Operator</v>
          </cell>
          <cell r="D278" t="str">
            <v>=   ( 1  Orang / Jam )  x  U1</v>
          </cell>
          <cell r="G278" t="str">
            <v>L</v>
          </cell>
          <cell r="H278">
            <v>10714.285714285714</v>
          </cell>
          <cell r="I278" t="str">
            <v>Rupiah</v>
          </cell>
        </row>
        <row r="279">
          <cell r="A279" t="str">
            <v xml:space="preserve">       5.</v>
          </cell>
          <cell r="C279" t="str">
            <v>Pembantu Operator</v>
          </cell>
          <cell r="D279" t="str">
            <v>=   ( 1  Orang / Jam )  x  U2</v>
          </cell>
          <cell r="G279" t="str">
            <v>M</v>
          </cell>
          <cell r="H279">
            <v>4000</v>
          </cell>
          <cell r="I279" t="str">
            <v>Rupiah</v>
          </cell>
        </row>
        <row r="281">
          <cell r="C281" t="str">
            <v>Biaya Operasi per Jam        =</v>
          </cell>
          <cell r="E281" t="str">
            <v>(H+I+K+L+M)</v>
          </cell>
          <cell r="G281" t="str">
            <v>P</v>
          </cell>
          <cell r="H281">
            <v>165995.53571428571</v>
          </cell>
          <cell r="I281" t="str">
            <v>Rupiah</v>
          </cell>
        </row>
        <row r="283">
          <cell r="A283" t="str">
            <v>D.</v>
          </cell>
          <cell r="C283" t="str">
            <v>TOTAL BIAYA SEWA ALAT / JAM   =   ( G + P )</v>
          </cell>
          <cell r="G283" t="str">
            <v>S</v>
          </cell>
          <cell r="H283">
            <v>185383.80662376754</v>
          </cell>
          <cell r="I283" t="str">
            <v>Rupiah</v>
          </cell>
        </row>
        <row r="286">
          <cell r="A286" t="str">
            <v>E.</v>
          </cell>
          <cell r="C286" t="str">
            <v>LAIN - LAIN</v>
          </cell>
        </row>
        <row r="287">
          <cell r="A287" t="str">
            <v xml:space="preserve">       1.</v>
          </cell>
          <cell r="C287" t="str">
            <v>Tingkat Suku Bunga</v>
          </cell>
          <cell r="G287" t="str">
            <v>i</v>
          </cell>
          <cell r="H287">
            <v>20</v>
          </cell>
          <cell r="I287" t="str">
            <v>% / Tahun</v>
          </cell>
        </row>
        <row r="288">
          <cell r="A288" t="str">
            <v xml:space="preserve">       2.</v>
          </cell>
          <cell r="C288" t="str">
            <v>Upah Operator / Sopir</v>
          </cell>
          <cell r="G288" t="str">
            <v>U1</v>
          </cell>
          <cell r="H288">
            <v>10714.285714285714</v>
          </cell>
          <cell r="I288" t="str">
            <v>Rp./Jam</v>
          </cell>
        </row>
        <row r="289">
          <cell r="A289" t="str">
            <v xml:space="preserve">       3.</v>
          </cell>
          <cell r="C289" t="str">
            <v>Upah Pembantu Operator / Pmb.Sopir</v>
          </cell>
          <cell r="G289" t="str">
            <v>U2</v>
          </cell>
          <cell r="H289">
            <v>4000</v>
          </cell>
          <cell r="I289" t="str">
            <v>Rp./Jam</v>
          </cell>
        </row>
        <row r="290">
          <cell r="A290" t="str">
            <v xml:space="preserve">       4.</v>
          </cell>
          <cell r="C290" t="str">
            <v>Bahan Bakar Bensin</v>
          </cell>
          <cell r="G290" t="str">
            <v>Mb</v>
          </cell>
          <cell r="H290">
            <v>4500</v>
          </cell>
          <cell r="I290" t="str">
            <v>Liter</v>
          </cell>
        </row>
        <row r="291">
          <cell r="A291" t="str">
            <v xml:space="preserve">       5.</v>
          </cell>
          <cell r="C291" t="str">
            <v>Bahan Bakar Solar</v>
          </cell>
          <cell r="G291" t="str">
            <v>Ms</v>
          </cell>
          <cell r="H291">
            <v>4400</v>
          </cell>
          <cell r="I291" t="str">
            <v>Liter</v>
          </cell>
        </row>
        <row r="292">
          <cell r="A292" t="str">
            <v xml:space="preserve">       6.</v>
          </cell>
          <cell r="C292" t="str">
            <v>Minyak Pelumas</v>
          </cell>
          <cell r="G292" t="str">
            <v>Mp</v>
          </cell>
          <cell r="H292">
            <v>30000</v>
          </cell>
          <cell r="I292" t="str">
            <v>Liter</v>
          </cell>
        </row>
        <row r="293">
          <cell r="A293" t="str">
            <v xml:space="preserve">       7.</v>
          </cell>
          <cell r="C293" t="str">
            <v>PPN diperhitungkan pada lembar Rekapitulasi</v>
          </cell>
        </row>
        <row r="294">
          <cell r="C294" t="str">
            <v>Biaya Pekerjaan</v>
          </cell>
        </row>
        <row r="297">
          <cell r="A297" t="str">
            <v>URAIAN ANALISA ALAT</v>
          </cell>
        </row>
        <row r="300">
          <cell r="A300" t="str">
            <v>No.</v>
          </cell>
          <cell r="C300" t="str">
            <v>U R A I A N</v>
          </cell>
          <cell r="G300" t="str">
            <v>KODE</v>
          </cell>
          <cell r="H300" t="str">
            <v>KOEF.</v>
          </cell>
          <cell r="I300" t="str">
            <v>SATUAN</v>
          </cell>
          <cell r="J300" t="str">
            <v>KET.</v>
          </cell>
        </row>
        <row r="303">
          <cell r="A303" t="str">
            <v>A.</v>
          </cell>
          <cell r="C303" t="str">
            <v>URAIAN PERALATAN</v>
          </cell>
        </row>
        <row r="304">
          <cell r="A304" t="str">
            <v xml:space="preserve">       1.</v>
          </cell>
          <cell r="C304" t="str">
            <v>Jenis Peralatan</v>
          </cell>
          <cell r="G304" t="str">
            <v>TRACK LOADER 75-100 HP</v>
          </cell>
          <cell r="J304" t="str">
            <v>E14</v>
          </cell>
        </row>
        <row r="305">
          <cell r="A305" t="str">
            <v xml:space="preserve">       2.</v>
          </cell>
          <cell r="C305" t="str">
            <v>Tenaga</v>
          </cell>
          <cell r="G305" t="str">
            <v>Pw</v>
          </cell>
          <cell r="H305">
            <v>90</v>
          </cell>
          <cell r="I305" t="str">
            <v>HP</v>
          </cell>
        </row>
        <row r="306">
          <cell r="A306" t="str">
            <v xml:space="preserve">       3.</v>
          </cell>
          <cell r="C306" t="str">
            <v>Kapasitas</v>
          </cell>
          <cell r="G306" t="str">
            <v>Cp</v>
          </cell>
          <cell r="H306">
            <v>1.6</v>
          </cell>
          <cell r="I306" t="str">
            <v>M3</v>
          </cell>
        </row>
        <row r="307">
          <cell r="A307" t="str">
            <v xml:space="preserve">       4.</v>
          </cell>
          <cell r="C307" t="str">
            <v>Alat Baru                :</v>
          </cell>
          <cell r="D307" t="str">
            <v xml:space="preserve">  a.  Umur Ekonomis</v>
          </cell>
          <cell r="G307" t="str">
            <v>A</v>
          </cell>
          <cell r="H307">
            <v>5</v>
          </cell>
          <cell r="I307" t="str">
            <v>Tahun</v>
          </cell>
        </row>
        <row r="308">
          <cell r="D308" t="str">
            <v xml:space="preserve">  b.  Jam Kerja Dalam 1 Tahun</v>
          </cell>
          <cell r="G308" t="str">
            <v>W</v>
          </cell>
          <cell r="H308">
            <v>2000</v>
          </cell>
          <cell r="I308" t="str">
            <v>Jam</v>
          </cell>
        </row>
        <row r="309">
          <cell r="D309" t="str">
            <v xml:space="preserve">  c.  Harga Alat</v>
          </cell>
          <cell r="G309" t="str">
            <v>B</v>
          </cell>
          <cell r="H309">
            <v>567000000</v>
          </cell>
          <cell r="I309" t="str">
            <v>Rupiah</v>
          </cell>
        </row>
        <row r="310">
          <cell r="A310" t="str">
            <v xml:space="preserve">       5.</v>
          </cell>
          <cell r="C310" t="str">
            <v>Alat Yang Dipakai  :</v>
          </cell>
          <cell r="D310" t="str">
            <v xml:space="preserve">  a.  Umur Ekonomis</v>
          </cell>
          <cell r="G310" t="str">
            <v>A'</v>
          </cell>
          <cell r="H310">
            <v>5</v>
          </cell>
          <cell r="I310" t="str">
            <v>Tahun</v>
          </cell>
          <cell r="J310" t="str">
            <v xml:space="preserve"> Alat Baru</v>
          </cell>
        </row>
        <row r="311">
          <cell r="D311" t="str">
            <v xml:space="preserve">  b.  Jam Kerja Dalam 1 Tahun </v>
          </cell>
          <cell r="G311" t="str">
            <v>W'</v>
          </cell>
          <cell r="H311">
            <v>2000</v>
          </cell>
          <cell r="I311" t="str">
            <v>Jam</v>
          </cell>
          <cell r="J311" t="str">
            <v xml:space="preserve"> Alat Baru</v>
          </cell>
        </row>
        <row r="312">
          <cell r="D312" t="str">
            <v xml:space="preserve">  c.  Harga Alat   (*)</v>
          </cell>
          <cell r="G312" t="str">
            <v>B'</v>
          </cell>
          <cell r="H312">
            <v>567000000</v>
          </cell>
          <cell r="I312" t="str">
            <v>Rupiah</v>
          </cell>
          <cell r="J312" t="str">
            <v xml:space="preserve"> Alat Baru</v>
          </cell>
        </row>
        <row r="314">
          <cell r="A314" t="str">
            <v>B.</v>
          </cell>
          <cell r="C314" t="str">
            <v>BIAYA PASTI PER JAM KERJA</v>
          </cell>
        </row>
        <row r="315">
          <cell r="A315" t="str">
            <v xml:space="preserve">       1.</v>
          </cell>
          <cell r="C315" t="str">
            <v>Nilai Sisa Alat</v>
          </cell>
          <cell r="D315" t="str">
            <v>=  10 % x B</v>
          </cell>
          <cell r="G315" t="str">
            <v>C</v>
          </cell>
          <cell r="H315">
            <v>56700000</v>
          </cell>
          <cell r="I315" t="str">
            <v>Rupiah</v>
          </cell>
        </row>
        <row r="317">
          <cell r="A317" t="str">
            <v xml:space="preserve">       2.</v>
          </cell>
          <cell r="C317" t="str">
            <v>Faktor Angsuran Modal    =</v>
          </cell>
          <cell r="E317" t="str">
            <v>i x (1 + i)^A'</v>
          </cell>
          <cell r="G317" t="str">
            <v>D</v>
          </cell>
          <cell r="H317">
            <v>0.33437970328961514</v>
          </cell>
          <cell r="I317" t="str">
            <v>-</v>
          </cell>
        </row>
        <row r="318">
          <cell r="E318" t="str">
            <v>(1 + i)^A' - 1</v>
          </cell>
        </row>
        <row r="319">
          <cell r="A319" t="str">
            <v xml:space="preserve">       3.</v>
          </cell>
          <cell r="C319" t="str">
            <v>Biaya Pasti per Jam  :</v>
          </cell>
        </row>
        <row r="320">
          <cell r="C320" t="str">
            <v>a.  Biaya Pengembalian Modal  =</v>
          </cell>
          <cell r="E320" t="str">
            <v>( B' - C ) x D</v>
          </cell>
          <cell r="G320" t="str">
            <v>E</v>
          </cell>
          <cell r="H320">
            <v>85316.9812943453</v>
          </cell>
          <cell r="I320" t="str">
            <v>Rupiah</v>
          </cell>
        </row>
        <row r="321">
          <cell r="E321" t="str">
            <v>W'</v>
          </cell>
        </row>
        <row r="323">
          <cell r="C323" t="str">
            <v>b.  Asuransi, dll =</v>
          </cell>
          <cell r="D323">
            <v>2E-3</v>
          </cell>
          <cell r="E323" t="str">
            <v xml:space="preserve">  x   B'</v>
          </cell>
          <cell r="G323" t="str">
            <v>F</v>
          </cell>
          <cell r="H323">
            <v>567</v>
          </cell>
          <cell r="I323" t="str">
            <v>Rupiah</v>
          </cell>
        </row>
        <row r="324">
          <cell r="E324" t="str">
            <v>W'</v>
          </cell>
        </row>
        <row r="326">
          <cell r="C326" t="str">
            <v>Biaya Pasti per Jam             =</v>
          </cell>
          <cell r="E326" t="str">
            <v>( E + F )</v>
          </cell>
          <cell r="G326" t="str">
            <v>G</v>
          </cell>
          <cell r="H326">
            <v>85883.9812943453</v>
          </cell>
          <cell r="I326" t="str">
            <v>Rupiah</v>
          </cell>
        </row>
        <row r="328">
          <cell r="A328" t="str">
            <v>C.</v>
          </cell>
          <cell r="C328" t="str">
            <v>BIAYA OPERASI PER JAM KERJA</v>
          </cell>
        </row>
        <row r="330">
          <cell r="A330" t="str">
            <v xml:space="preserve">       1.</v>
          </cell>
          <cell r="C330" t="str">
            <v xml:space="preserve">Bahan Bakar  =  (0.125-0.175 Ltr/HP/Jam)   x Pw x Ms </v>
          </cell>
          <cell r="G330" t="str">
            <v>H</v>
          </cell>
          <cell r="H330">
            <v>24750</v>
          </cell>
          <cell r="I330" t="str">
            <v>Rupiah</v>
          </cell>
        </row>
        <row r="332">
          <cell r="A332" t="str">
            <v xml:space="preserve">       2.</v>
          </cell>
          <cell r="C332" t="str">
            <v>Pelumas         =  (0.01-0.02 Ltr/HP/Jam) x Pw x Mp</v>
          </cell>
          <cell r="G332" t="str">
            <v>I</v>
          </cell>
          <cell r="H332">
            <v>27000</v>
          </cell>
          <cell r="I332" t="str">
            <v>Rupiah</v>
          </cell>
        </row>
        <row r="334">
          <cell r="A334" t="str">
            <v xml:space="preserve">       3.</v>
          </cell>
          <cell r="C334" t="str">
            <v>Perawatan dan</v>
          </cell>
          <cell r="D334" t="str">
            <v>(12,5 % - 17,5 %)  x  B'</v>
          </cell>
          <cell r="G334" t="str">
            <v>K</v>
          </cell>
          <cell r="H334">
            <v>35437.5</v>
          </cell>
          <cell r="I334" t="str">
            <v>Rupiah</v>
          </cell>
        </row>
        <row r="335">
          <cell r="C335" t="str">
            <v xml:space="preserve">        perbaikan    =</v>
          </cell>
          <cell r="D335" t="str">
            <v>W'</v>
          </cell>
        </row>
        <row r="337">
          <cell r="A337" t="str">
            <v xml:space="preserve">       4.</v>
          </cell>
          <cell r="C337" t="str">
            <v>Operator</v>
          </cell>
          <cell r="D337" t="str">
            <v>=   ( 1  Orang / Jam )  x  U1</v>
          </cell>
          <cell r="G337" t="str">
            <v>L</v>
          </cell>
          <cell r="H337">
            <v>10714.285714285714</v>
          </cell>
          <cell r="I337" t="str">
            <v>Rupiah</v>
          </cell>
        </row>
        <row r="338">
          <cell r="A338" t="str">
            <v xml:space="preserve">       5.</v>
          </cell>
          <cell r="C338" t="str">
            <v>Pembantu Operator</v>
          </cell>
          <cell r="D338" t="str">
            <v>=   ( 1  Orang / Jam )  x  U2</v>
          </cell>
          <cell r="G338" t="str">
            <v>M</v>
          </cell>
          <cell r="H338">
            <v>4000</v>
          </cell>
          <cell r="I338" t="str">
            <v>Rupiah</v>
          </cell>
        </row>
        <row r="340">
          <cell r="C340" t="str">
            <v>Biaya Operasi per Jam        =</v>
          </cell>
          <cell r="E340" t="str">
            <v>(H+I+K+L+M)</v>
          </cell>
          <cell r="G340" t="str">
            <v>P</v>
          </cell>
          <cell r="H340">
            <v>101901.78571428571</v>
          </cell>
          <cell r="I340" t="str">
            <v>Rupiah</v>
          </cell>
        </row>
        <row r="342">
          <cell r="A342" t="str">
            <v>D.</v>
          </cell>
          <cell r="C342" t="str">
            <v>TOTAL BIAYA SEWA ALAT / JAM   =   ( G + P )</v>
          </cell>
          <cell r="G342" t="str">
            <v>S</v>
          </cell>
          <cell r="H342">
            <v>187785.76700863102</v>
          </cell>
          <cell r="I342" t="str">
            <v>Rupiah</v>
          </cell>
        </row>
        <row r="345">
          <cell r="A345" t="str">
            <v>E.</v>
          </cell>
          <cell r="C345" t="str">
            <v>LAIN - LAIN</v>
          </cell>
        </row>
        <row r="346">
          <cell r="A346" t="str">
            <v xml:space="preserve">       1.</v>
          </cell>
          <cell r="C346" t="str">
            <v>Tingkat Suku Bunga</v>
          </cell>
          <cell r="G346" t="str">
            <v>i</v>
          </cell>
          <cell r="H346">
            <v>20</v>
          </cell>
          <cell r="I346" t="str">
            <v>% / Tahun</v>
          </cell>
        </row>
        <row r="347">
          <cell r="A347" t="str">
            <v xml:space="preserve">       2.</v>
          </cell>
          <cell r="C347" t="str">
            <v>Upah Operator / Sopir</v>
          </cell>
          <cell r="G347" t="str">
            <v>U1</v>
          </cell>
          <cell r="H347">
            <v>10714.285714285714</v>
          </cell>
          <cell r="I347" t="str">
            <v>Rp./Jam</v>
          </cell>
        </row>
        <row r="348">
          <cell r="A348" t="str">
            <v xml:space="preserve">       3.</v>
          </cell>
          <cell r="C348" t="str">
            <v>Upah Pembantu Operator / Pmb.Sopir</v>
          </cell>
          <cell r="G348" t="str">
            <v>U2</v>
          </cell>
          <cell r="H348">
            <v>4000</v>
          </cell>
          <cell r="I348" t="str">
            <v>Rp./Jam</v>
          </cell>
        </row>
        <row r="349">
          <cell r="A349" t="str">
            <v xml:space="preserve">       4.</v>
          </cell>
          <cell r="C349" t="str">
            <v>Bahan Bakar Bensin</v>
          </cell>
          <cell r="G349" t="str">
            <v>Mb</v>
          </cell>
          <cell r="H349">
            <v>4500</v>
          </cell>
          <cell r="I349" t="str">
            <v>Liter</v>
          </cell>
        </row>
        <row r="350">
          <cell r="A350" t="str">
            <v xml:space="preserve">       5.</v>
          </cell>
          <cell r="C350" t="str">
            <v>Bahan Bakar Solar</v>
          </cell>
          <cell r="G350" t="str">
            <v>Ms</v>
          </cell>
          <cell r="H350">
            <v>4400</v>
          </cell>
          <cell r="I350" t="str">
            <v>Liter</v>
          </cell>
        </row>
        <row r="351">
          <cell r="A351" t="str">
            <v xml:space="preserve">       6.</v>
          </cell>
          <cell r="C351" t="str">
            <v>Minyak Pelumas</v>
          </cell>
          <cell r="G351" t="str">
            <v>Mp</v>
          </cell>
          <cell r="H351">
            <v>30000</v>
          </cell>
          <cell r="I351" t="str">
            <v>Liter</v>
          </cell>
        </row>
        <row r="352">
          <cell r="A352" t="str">
            <v xml:space="preserve">       7.</v>
          </cell>
          <cell r="C352" t="str">
            <v>PPN diperhitungkan pada lembar Rekapitulasi</v>
          </cell>
        </row>
        <row r="353">
          <cell r="C353" t="str">
            <v>Biaya Pekerjaan</v>
          </cell>
        </row>
        <row r="356">
          <cell r="A356" t="str">
            <v>URAIAN ANALISA ALAT</v>
          </cell>
        </row>
        <row r="359">
          <cell r="A359" t="str">
            <v>No.</v>
          </cell>
          <cell r="C359" t="str">
            <v>U R A I A N</v>
          </cell>
          <cell r="G359" t="str">
            <v>KODE</v>
          </cell>
          <cell r="H359" t="str">
            <v>KOEF.</v>
          </cell>
          <cell r="I359" t="str">
            <v>SATUAN</v>
          </cell>
          <cell r="J359" t="str">
            <v>KET.</v>
          </cell>
        </row>
        <row r="362">
          <cell r="A362" t="str">
            <v>A.</v>
          </cell>
          <cell r="C362" t="str">
            <v>URAIAN PERALATAN</v>
          </cell>
        </row>
        <row r="363">
          <cell r="A363" t="str">
            <v xml:space="preserve">       1.</v>
          </cell>
          <cell r="C363" t="str">
            <v>Jenis Peralatan</v>
          </cell>
          <cell r="G363" t="str">
            <v>WHEEL LOADER 1.0-1.6 M3</v>
          </cell>
          <cell r="J363" t="str">
            <v>E15</v>
          </cell>
        </row>
        <row r="364">
          <cell r="A364" t="str">
            <v xml:space="preserve">       2.</v>
          </cell>
          <cell r="C364" t="str">
            <v>Tenaga</v>
          </cell>
          <cell r="G364" t="str">
            <v>Pw</v>
          </cell>
          <cell r="H364">
            <v>105</v>
          </cell>
          <cell r="I364" t="str">
            <v>HP</v>
          </cell>
        </row>
        <row r="365">
          <cell r="A365" t="str">
            <v xml:space="preserve">       3.</v>
          </cell>
          <cell r="C365" t="str">
            <v>Kapasitas</v>
          </cell>
          <cell r="G365" t="str">
            <v>Cp</v>
          </cell>
          <cell r="H365">
            <v>1.5</v>
          </cell>
          <cell r="I365" t="str">
            <v>M3</v>
          </cell>
        </row>
        <row r="366">
          <cell r="A366" t="str">
            <v xml:space="preserve">       4.</v>
          </cell>
          <cell r="C366" t="str">
            <v>Alat Baru                :</v>
          </cell>
          <cell r="D366" t="str">
            <v xml:space="preserve">  a.  Umur Ekonomis</v>
          </cell>
          <cell r="G366" t="str">
            <v>A</v>
          </cell>
          <cell r="H366">
            <v>5</v>
          </cell>
          <cell r="I366" t="str">
            <v>Tahun</v>
          </cell>
        </row>
        <row r="367">
          <cell r="D367" t="str">
            <v xml:space="preserve">  b.  Jam Kerja Dalam 1 Tahun</v>
          </cell>
          <cell r="G367" t="str">
            <v>W</v>
          </cell>
          <cell r="H367">
            <v>2000</v>
          </cell>
          <cell r="I367" t="str">
            <v>Jam</v>
          </cell>
        </row>
        <row r="368">
          <cell r="D368" t="str">
            <v xml:space="preserve">  c.  Harga Alat</v>
          </cell>
          <cell r="G368" t="str">
            <v>B</v>
          </cell>
          <cell r="H368">
            <v>650000000</v>
          </cell>
          <cell r="I368" t="str">
            <v>Rupiah</v>
          </cell>
        </row>
        <row r="369">
          <cell r="A369" t="str">
            <v xml:space="preserve">       5.</v>
          </cell>
          <cell r="C369" t="str">
            <v>Alat Yang Dipakai  :</v>
          </cell>
          <cell r="D369" t="str">
            <v xml:space="preserve">  a.  Umur Ekonomis</v>
          </cell>
          <cell r="G369" t="str">
            <v>A'</v>
          </cell>
          <cell r="H369">
            <v>5</v>
          </cell>
          <cell r="I369" t="str">
            <v>Tahun</v>
          </cell>
          <cell r="J369" t="str">
            <v xml:space="preserve"> Alat Baru</v>
          </cell>
        </row>
        <row r="370">
          <cell r="D370" t="str">
            <v xml:space="preserve">  b.  Jam Kerja Dalam 1 Tahun </v>
          </cell>
          <cell r="G370" t="str">
            <v>W'</v>
          </cell>
          <cell r="H370">
            <v>2000</v>
          </cell>
          <cell r="I370" t="str">
            <v>Jam</v>
          </cell>
          <cell r="J370" t="str">
            <v xml:space="preserve"> Alat Baru</v>
          </cell>
        </row>
        <row r="371">
          <cell r="D371" t="str">
            <v xml:space="preserve">  c.  Harga Alat   (*)</v>
          </cell>
          <cell r="G371" t="str">
            <v>B'</v>
          </cell>
          <cell r="H371">
            <v>650000000</v>
          </cell>
          <cell r="I371" t="str">
            <v>Rupiah</v>
          </cell>
          <cell r="J371" t="str">
            <v xml:space="preserve"> Alat Baru</v>
          </cell>
        </row>
        <row r="373">
          <cell r="A373" t="str">
            <v>B.</v>
          </cell>
          <cell r="C373" t="str">
            <v>BIAYA PASTI PER JAM KERJA</v>
          </cell>
        </row>
        <row r="374">
          <cell r="A374" t="str">
            <v xml:space="preserve">       1.</v>
          </cell>
          <cell r="C374" t="str">
            <v>Nilai Sisa Alat</v>
          </cell>
          <cell r="D374" t="str">
            <v>=  10 % x B</v>
          </cell>
          <cell r="G374" t="str">
            <v>C</v>
          </cell>
          <cell r="H374">
            <v>65000000</v>
          </cell>
          <cell r="I374" t="str">
            <v>Rupiah</v>
          </cell>
        </row>
        <row r="376">
          <cell r="A376" t="str">
            <v xml:space="preserve">       2.</v>
          </cell>
          <cell r="C376" t="str">
            <v>Faktor Angsuran Modal    =</v>
          </cell>
          <cell r="E376" t="str">
            <v>i x (1 + i)^A'</v>
          </cell>
          <cell r="G376" t="str">
            <v>D</v>
          </cell>
          <cell r="H376">
            <v>0.33437970328961514</v>
          </cell>
          <cell r="I376" t="str">
            <v>-</v>
          </cell>
        </row>
        <row r="377">
          <cell r="E377" t="str">
            <v>(1 + i)^A' - 1</v>
          </cell>
        </row>
        <row r="378">
          <cell r="A378" t="str">
            <v xml:space="preserve">       3.</v>
          </cell>
          <cell r="C378" t="str">
            <v>Biaya Pasti per Jam  :</v>
          </cell>
        </row>
        <row r="379">
          <cell r="C379" t="str">
            <v>a.  Biaya Pengembalian Modal  =</v>
          </cell>
          <cell r="E379" t="str">
            <v>( B' - C ) x D</v>
          </cell>
          <cell r="G379" t="str">
            <v>E</v>
          </cell>
          <cell r="H379">
            <v>97806.063212212423</v>
          </cell>
          <cell r="I379" t="str">
            <v>Rupiah</v>
          </cell>
        </row>
        <row r="380">
          <cell r="E380" t="str">
            <v>W'</v>
          </cell>
        </row>
        <row r="382">
          <cell r="C382" t="str">
            <v>b.  Asuransi, dll =</v>
          </cell>
          <cell r="D382">
            <v>2E-3</v>
          </cell>
          <cell r="E382" t="str">
            <v xml:space="preserve">  x   B'</v>
          </cell>
          <cell r="G382" t="str">
            <v>F</v>
          </cell>
          <cell r="H382">
            <v>650</v>
          </cell>
          <cell r="I382" t="str">
            <v>Rupiah</v>
          </cell>
        </row>
        <row r="383">
          <cell r="E383" t="str">
            <v>W'</v>
          </cell>
        </row>
        <row r="385">
          <cell r="C385" t="str">
            <v>Biaya Pasti per Jam             =</v>
          </cell>
          <cell r="E385" t="str">
            <v>( E + F )</v>
          </cell>
          <cell r="G385" t="str">
            <v>G</v>
          </cell>
          <cell r="H385">
            <v>98456.063212212423</v>
          </cell>
          <cell r="I385" t="str">
            <v>Rupiah</v>
          </cell>
        </row>
        <row r="387">
          <cell r="A387" t="str">
            <v>C.</v>
          </cell>
          <cell r="C387" t="str">
            <v>BIAYA OPERASI PER JAM KERJA</v>
          </cell>
        </row>
        <row r="389">
          <cell r="A389" t="str">
            <v xml:space="preserve">       1.</v>
          </cell>
          <cell r="C389" t="str">
            <v xml:space="preserve">Bahan Bakar  =  (0.125-0.175 Ltr/HP/Jam)   x Pw x Ms </v>
          </cell>
          <cell r="G389" t="str">
            <v>H</v>
          </cell>
          <cell r="H389">
            <v>54468.75</v>
          </cell>
          <cell r="I389" t="str">
            <v>Rupiah</v>
          </cell>
        </row>
        <row r="391">
          <cell r="A391" t="str">
            <v xml:space="preserve">       2.</v>
          </cell>
          <cell r="C391" t="str">
            <v>Pelumas         =  (0.01-0.02 Ltr/HP/Jam) x Pw x Mp</v>
          </cell>
          <cell r="G391" t="str">
            <v>I</v>
          </cell>
          <cell r="H391">
            <v>31500</v>
          </cell>
          <cell r="I391" t="str">
            <v>Rupiah</v>
          </cell>
        </row>
        <row r="393">
          <cell r="A393" t="str">
            <v xml:space="preserve">       3.</v>
          </cell>
          <cell r="C393" t="str">
            <v>Perawatan dan</v>
          </cell>
          <cell r="D393" t="str">
            <v>(12,5 % - 17,5 %)  x  B'</v>
          </cell>
          <cell r="G393" t="str">
            <v>K</v>
          </cell>
          <cell r="H393">
            <v>40625</v>
          </cell>
          <cell r="I393" t="str">
            <v>Rupiah</v>
          </cell>
        </row>
        <row r="394">
          <cell r="C394" t="str">
            <v xml:space="preserve">        perbaikan    =</v>
          </cell>
          <cell r="D394" t="str">
            <v>W'</v>
          </cell>
        </row>
        <row r="396">
          <cell r="A396" t="str">
            <v xml:space="preserve">       4.</v>
          </cell>
          <cell r="C396" t="str">
            <v>Operator</v>
          </cell>
          <cell r="D396" t="str">
            <v>=   ( 1  Orang / Jam )  x  U1</v>
          </cell>
          <cell r="G396" t="str">
            <v>L</v>
          </cell>
          <cell r="H396">
            <v>10714.285714285714</v>
          </cell>
          <cell r="I396" t="str">
            <v>Rupiah</v>
          </cell>
        </row>
        <row r="397">
          <cell r="A397" t="str">
            <v xml:space="preserve">       5.</v>
          </cell>
          <cell r="C397" t="str">
            <v>Pembantu Operator</v>
          </cell>
          <cell r="D397" t="str">
            <v>=   ( 1  Orang / Jam )  x  U2</v>
          </cell>
          <cell r="G397" t="str">
            <v>M</v>
          </cell>
          <cell r="H397">
            <v>4000</v>
          </cell>
          <cell r="I397" t="str">
            <v>Rupiah</v>
          </cell>
        </row>
        <row r="399">
          <cell r="C399" t="str">
            <v>Biaya Operasi per Jam        =</v>
          </cell>
          <cell r="E399" t="str">
            <v>(H+I+K+L+M)</v>
          </cell>
          <cell r="G399" t="str">
            <v>P</v>
          </cell>
          <cell r="H399">
            <v>141308.03571428571</v>
          </cell>
          <cell r="I399" t="str">
            <v>Rupiah</v>
          </cell>
        </row>
        <row r="401">
          <cell r="A401" t="str">
            <v>D.</v>
          </cell>
          <cell r="C401" t="str">
            <v>TOTAL BIAYA SEWA ALAT / JAM   =   ( G + P )</v>
          </cell>
          <cell r="G401" t="str">
            <v>S</v>
          </cell>
          <cell r="H401">
            <v>239764.09892649815</v>
          </cell>
          <cell r="I401" t="str">
            <v>Rupiah</v>
          </cell>
        </row>
        <row r="404">
          <cell r="A404" t="str">
            <v>E.</v>
          </cell>
          <cell r="C404" t="str">
            <v>LAIN - LAIN</v>
          </cell>
        </row>
        <row r="405">
          <cell r="A405" t="str">
            <v xml:space="preserve">       1.</v>
          </cell>
          <cell r="C405" t="str">
            <v>Tingkat Suku Bunga</v>
          </cell>
          <cell r="G405" t="str">
            <v>i</v>
          </cell>
          <cell r="H405">
            <v>20</v>
          </cell>
          <cell r="I405" t="str">
            <v>% / Tahun</v>
          </cell>
        </row>
        <row r="406">
          <cell r="A406" t="str">
            <v xml:space="preserve">       2.</v>
          </cell>
          <cell r="C406" t="str">
            <v>Upah Operator / Sopir</v>
          </cell>
          <cell r="G406" t="str">
            <v>U1</v>
          </cell>
          <cell r="H406">
            <v>10714.285714285714</v>
          </cell>
          <cell r="I406" t="str">
            <v>Rp./Jam</v>
          </cell>
        </row>
        <row r="407">
          <cell r="A407" t="str">
            <v xml:space="preserve">       3.</v>
          </cell>
          <cell r="C407" t="str">
            <v>Upah Pembantu Operator / Pmb.Sopir</v>
          </cell>
          <cell r="G407" t="str">
            <v>U2</v>
          </cell>
          <cell r="H407">
            <v>4000</v>
          </cell>
          <cell r="I407" t="str">
            <v>Rp./Jam</v>
          </cell>
        </row>
        <row r="408">
          <cell r="A408" t="str">
            <v xml:space="preserve">       4.</v>
          </cell>
          <cell r="C408" t="str">
            <v>Bahan Bakar Bensin</v>
          </cell>
          <cell r="G408" t="str">
            <v>Mb</v>
          </cell>
          <cell r="H408">
            <v>4500</v>
          </cell>
          <cell r="I408" t="str">
            <v>Liter</v>
          </cell>
        </row>
        <row r="409">
          <cell r="A409" t="str">
            <v xml:space="preserve">       5.</v>
          </cell>
          <cell r="C409" t="str">
            <v>Bahan Bakar Solar</v>
          </cell>
          <cell r="G409" t="str">
            <v>Ms</v>
          </cell>
          <cell r="H409">
            <v>4400</v>
          </cell>
          <cell r="I409" t="str">
            <v>Liter</v>
          </cell>
        </row>
        <row r="410">
          <cell r="A410" t="str">
            <v xml:space="preserve">       6.</v>
          </cell>
          <cell r="C410" t="str">
            <v>Minyak Pelumas</v>
          </cell>
          <cell r="G410" t="str">
            <v>Mp</v>
          </cell>
          <cell r="H410">
            <v>30000</v>
          </cell>
          <cell r="I410" t="str">
            <v>Liter</v>
          </cell>
        </row>
        <row r="411">
          <cell r="A411" t="str">
            <v xml:space="preserve">       7.</v>
          </cell>
          <cell r="C411" t="str">
            <v>PPN diperhitungkan pada lembar Rekapitulasi</v>
          </cell>
        </row>
        <row r="412">
          <cell r="C412" t="str">
            <v>Biaya Pekerjaan</v>
          </cell>
        </row>
        <row r="415">
          <cell r="A415" t="str">
            <v>URAIAN ANALISA ALAT</v>
          </cell>
        </row>
        <row r="418">
          <cell r="A418" t="str">
            <v>No.</v>
          </cell>
          <cell r="C418" t="str">
            <v>U R A I A N</v>
          </cell>
          <cell r="G418" t="str">
            <v>KODE</v>
          </cell>
          <cell r="H418" t="str">
            <v>KOEF.</v>
          </cell>
          <cell r="I418" t="str">
            <v>SATUAN</v>
          </cell>
          <cell r="J418" t="str">
            <v>KET.</v>
          </cell>
        </row>
        <row r="421">
          <cell r="A421" t="str">
            <v>A.</v>
          </cell>
          <cell r="C421" t="str">
            <v>URAIAN PERALATAN</v>
          </cell>
        </row>
        <row r="422">
          <cell r="A422" t="str">
            <v xml:space="preserve">       1.</v>
          </cell>
          <cell r="C422" t="str">
            <v>Jenis Peralatan</v>
          </cell>
          <cell r="G422" t="str">
            <v>VIBRATORY ROLLER 5-8 T.</v>
          </cell>
          <cell r="J422" t="str">
            <v>E19</v>
          </cell>
        </row>
        <row r="423">
          <cell r="A423" t="str">
            <v xml:space="preserve">       2.</v>
          </cell>
          <cell r="C423" t="str">
            <v>Tenaga</v>
          </cell>
          <cell r="G423" t="str">
            <v>Pw</v>
          </cell>
          <cell r="H423">
            <v>75</v>
          </cell>
          <cell r="I423" t="str">
            <v>HP</v>
          </cell>
        </row>
        <row r="424">
          <cell r="A424" t="str">
            <v xml:space="preserve">       3.</v>
          </cell>
          <cell r="C424" t="str">
            <v>Kapasitas</v>
          </cell>
          <cell r="G424" t="str">
            <v>Cp</v>
          </cell>
          <cell r="H424">
            <v>7</v>
          </cell>
          <cell r="I424" t="str">
            <v>Ton</v>
          </cell>
        </row>
        <row r="425">
          <cell r="A425" t="str">
            <v xml:space="preserve">       4.</v>
          </cell>
          <cell r="C425" t="str">
            <v>Alat Baru                :</v>
          </cell>
          <cell r="D425" t="str">
            <v xml:space="preserve">  a.  Umur Ekonomis</v>
          </cell>
          <cell r="G425" t="str">
            <v>A</v>
          </cell>
          <cell r="H425">
            <v>4</v>
          </cell>
          <cell r="I425" t="str">
            <v>Tahun</v>
          </cell>
        </row>
        <row r="426">
          <cell r="D426" t="str">
            <v xml:space="preserve">  b.  Jam Kerja Dalam 1 Tahun</v>
          </cell>
          <cell r="G426" t="str">
            <v>W</v>
          </cell>
          <cell r="H426">
            <v>2000</v>
          </cell>
          <cell r="I426" t="str">
            <v>Jam</v>
          </cell>
        </row>
        <row r="427">
          <cell r="D427" t="str">
            <v xml:space="preserve">  c.  Harga Alat</v>
          </cell>
          <cell r="G427" t="str">
            <v>B</v>
          </cell>
          <cell r="H427">
            <v>392000000</v>
          </cell>
          <cell r="I427" t="str">
            <v>Rupiah</v>
          </cell>
        </row>
        <row r="428">
          <cell r="A428" t="str">
            <v xml:space="preserve">       5.</v>
          </cell>
          <cell r="C428" t="str">
            <v>Alat Yang Dipakai  :</v>
          </cell>
          <cell r="D428" t="str">
            <v xml:space="preserve">  a.  Umur Ekonomis</v>
          </cell>
          <cell r="G428" t="str">
            <v>A'</v>
          </cell>
          <cell r="H428">
            <v>4</v>
          </cell>
          <cell r="I428" t="str">
            <v>Tahun</v>
          </cell>
          <cell r="J428" t="str">
            <v xml:space="preserve"> Alat Baru</v>
          </cell>
        </row>
        <row r="429">
          <cell r="D429" t="str">
            <v xml:space="preserve">  b.  Jam Kerja Dalam 1 Tahun </v>
          </cell>
          <cell r="G429" t="str">
            <v>W'</v>
          </cell>
          <cell r="H429">
            <v>2000</v>
          </cell>
          <cell r="I429" t="str">
            <v>Jam</v>
          </cell>
          <cell r="J429" t="str">
            <v xml:space="preserve"> Alat Baru</v>
          </cell>
        </row>
        <row r="430">
          <cell r="D430" t="str">
            <v xml:space="preserve">  c.  Harga Alat   (*)</v>
          </cell>
          <cell r="G430" t="str">
            <v>B'</v>
          </cell>
          <cell r="H430">
            <v>392000000</v>
          </cell>
          <cell r="I430" t="str">
            <v>Rupiah</v>
          </cell>
          <cell r="J430" t="str">
            <v xml:space="preserve"> Alat Baru</v>
          </cell>
        </row>
        <row r="432">
          <cell r="A432" t="str">
            <v>B.</v>
          </cell>
          <cell r="C432" t="str">
            <v>BIAYA PASTI PER JAM KERJA</v>
          </cell>
          <cell r="H432" t="str">
            <v>RFH</v>
          </cell>
        </row>
        <row r="433">
          <cell r="A433" t="str">
            <v xml:space="preserve">       1.</v>
          </cell>
          <cell r="C433" t="str">
            <v>Nilai Sisa Alat</v>
          </cell>
          <cell r="D433" t="str">
            <v>=  10 % x B</v>
          </cell>
          <cell r="G433" t="str">
            <v>C</v>
          </cell>
          <cell r="H433">
            <v>39200000</v>
          </cell>
          <cell r="I433" t="str">
            <v>Rupiah</v>
          </cell>
        </row>
        <row r="435">
          <cell r="A435" t="str">
            <v xml:space="preserve">       2.</v>
          </cell>
          <cell r="C435" t="str">
            <v>Faktor Angsuran Modal    =</v>
          </cell>
          <cell r="E435" t="str">
            <v>i x (1 + i)^A'</v>
          </cell>
          <cell r="G435" t="str">
            <v>D</v>
          </cell>
          <cell r="H435">
            <v>0.38628912071535026</v>
          </cell>
          <cell r="I435" t="str">
            <v>-</v>
          </cell>
        </row>
        <row r="436">
          <cell r="E436" t="str">
            <v>(1 + i)^A' - 1</v>
          </cell>
        </row>
        <row r="437">
          <cell r="A437" t="str">
            <v xml:space="preserve">       3.</v>
          </cell>
          <cell r="C437" t="str">
            <v>Biaya Pasti per Jam  :</v>
          </cell>
        </row>
        <row r="438">
          <cell r="C438" t="str">
            <v>a.  Biaya Pengembalian Modal  =</v>
          </cell>
          <cell r="E438" t="str">
            <v>( B' - C ) x D</v>
          </cell>
          <cell r="G438" t="str">
            <v>E</v>
          </cell>
          <cell r="H438">
            <v>68141.400894187798</v>
          </cell>
          <cell r="I438" t="str">
            <v>Rupiah</v>
          </cell>
        </row>
        <row r="439">
          <cell r="E439" t="str">
            <v>W'</v>
          </cell>
        </row>
        <row r="441">
          <cell r="C441" t="str">
            <v>b.  Asuransi, dll =</v>
          </cell>
          <cell r="D441">
            <v>2E-3</v>
          </cell>
          <cell r="E441" t="str">
            <v xml:space="preserve">  x   B'</v>
          </cell>
          <cell r="G441" t="str">
            <v>F</v>
          </cell>
          <cell r="H441">
            <v>392</v>
          </cell>
          <cell r="I441" t="str">
            <v>Rupiah</v>
          </cell>
        </row>
        <row r="442">
          <cell r="E442" t="str">
            <v>W'</v>
          </cell>
        </row>
        <row r="444">
          <cell r="C444" t="str">
            <v>Biaya Pasti per Jam             =</v>
          </cell>
          <cell r="E444" t="str">
            <v>( E + F )</v>
          </cell>
          <cell r="G444" t="str">
            <v>G</v>
          </cell>
          <cell r="H444">
            <v>68533.400894187798</v>
          </cell>
          <cell r="I444" t="str">
            <v>Rupiah</v>
          </cell>
        </row>
        <row r="446">
          <cell r="A446" t="str">
            <v>C.</v>
          </cell>
          <cell r="C446" t="str">
            <v>BIAYA OPERASI PER JAM KERJA</v>
          </cell>
        </row>
        <row r="448">
          <cell r="A448" t="str">
            <v xml:space="preserve">       1.</v>
          </cell>
          <cell r="C448" t="str">
            <v xml:space="preserve">Bahan Bakar  =  (0.125-0.175 Ltr/HP/Jam)   x Pw x Ms </v>
          </cell>
          <cell r="G448" t="str">
            <v>H</v>
          </cell>
          <cell r="H448">
            <v>38906.25</v>
          </cell>
          <cell r="I448" t="str">
            <v>Rupiah</v>
          </cell>
        </row>
        <row r="450">
          <cell r="A450" t="str">
            <v xml:space="preserve">       2.</v>
          </cell>
          <cell r="C450" t="str">
            <v>Pelumas         =  (0.01-0.02 Ltr/HP/Jam) x Pw x Mp</v>
          </cell>
          <cell r="G450" t="str">
            <v>I</v>
          </cell>
          <cell r="H450">
            <v>22500</v>
          </cell>
          <cell r="I450" t="str">
            <v>Rupiah</v>
          </cell>
        </row>
        <row r="452">
          <cell r="A452" t="str">
            <v xml:space="preserve">       3.</v>
          </cell>
          <cell r="C452" t="str">
            <v>Perawatan dan</v>
          </cell>
          <cell r="D452" t="str">
            <v>(12,5 % - 17,5 %)  x  B'</v>
          </cell>
          <cell r="G452" t="str">
            <v>K</v>
          </cell>
          <cell r="H452">
            <v>24500</v>
          </cell>
          <cell r="I452" t="str">
            <v>Rupiah</v>
          </cell>
        </row>
        <row r="453">
          <cell r="C453" t="str">
            <v xml:space="preserve">        perbaikan    =</v>
          </cell>
          <cell r="D453" t="str">
            <v>W'</v>
          </cell>
        </row>
        <row r="455">
          <cell r="A455" t="str">
            <v xml:space="preserve">       4.</v>
          </cell>
          <cell r="C455" t="str">
            <v>Operator</v>
          </cell>
          <cell r="D455" t="str">
            <v>=   ( 1  Orang / Jam )  x  U1</v>
          </cell>
          <cell r="G455" t="str">
            <v>L</v>
          </cell>
          <cell r="H455">
            <v>10714.285714285714</v>
          </cell>
          <cell r="I455" t="str">
            <v>Rupiah</v>
          </cell>
        </row>
        <row r="456">
          <cell r="A456" t="str">
            <v xml:space="preserve">       5.</v>
          </cell>
          <cell r="C456" t="str">
            <v>Pembantu Operator</v>
          </cell>
          <cell r="D456" t="str">
            <v>=   ( 1  Orang / Jam )  x  U2</v>
          </cell>
          <cell r="G456" t="str">
            <v>M</v>
          </cell>
          <cell r="H456">
            <v>4000</v>
          </cell>
          <cell r="I456" t="str">
            <v>Rupiah</v>
          </cell>
        </row>
        <row r="458">
          <cell r="C458" t="str">
            <v>Biaya Operasi per Jam        =</v>
          </cell>
          <cell r="E458" t="str">
            <v>(H+I+K+L+M)</v>
          </cell>
          <cell r="G458" t="str">
            <v>P</v>
          </cell>
          <cell r="H458">
            <v>100620.53571428571</v>
          </cell>
          <cell r="I458" t="str">
            <v>Rupiah</v>
          </cell>
        </row>
        <row r="460">
          <cell r="A460" t="str">
            <v>D.</v>
          </cell>
          <cell r="C460" t="str">
            <v>TOTAL BIAYA SEWA ALAT / JAM   =   ( G + P )</v>
          </cell>
          <cell r="G460" t="str">
            <v>S</v>
          </cell>
          <cell r="H460">
            <v>169153.93660847351</v>
          </cell>
          <cell r="I460" t="str">
            <v>Rupiah</v>
          </cell>
        </row>
        <row r="463">
          <cell r="A463" t="str">
            <v>E.</v>
          </cell>
          <cell r="C463" t="str">
            <v>LAIN - LAIN</v>
          </cell>
        </row>
        <row r="464">
          <cell r="A464" t="str">
            <v xml:space="preserve">       1.</v>
          </cell>
          <cell r="C464" t="str">
            <v>Tingkat Suku Bunga</v>
          </cell>
          <cell r="G464" t="str">
            <v>i</v>
          </cell>
          <cell r="H464">
            <v>20</v>
          </cell>
          <cell r="I464" t="str">
            <v>% / Tahun</v>
          </cell>
        </row>
        <row r="465">
          <cell r="A465" t="str">
            <v xml:space="preserve">       2.</v>
          </cell>
          <cell r="C465" t="str">
            <v>Upah Operator / Sopir</v>
          </cell>
          <cell r="G465" t="str">
            <v>U1</v>
          </cell>
          <cell r="H465">
            <v>10714.285714285714</v>
          </cell>
          <cell r="I465" t="str">
            <v>Rp./Jam</v>
          </cell>
        </row>
        <row r="466">
          <cell r="A466" t="str">
            <v xml:space="preserve">       3.</v>
          </cell>
          <cell r="C466" t="str">
            <v>Upah Pembantu Operator / Pmb.Sopir</v>
          </cell>
          <cell r="G466" t="str">
            <v>U2</v>
          </cell>
          <cell r="H466">
            <v>4000</v>
          </cell>
          <cell r="I466" t="str">
            <v>Rp./Jam</v>
          </cell>
        </row>
        <row r="467">
          <cell r="A467" t="str">
            <v xml:space="preserve">       4.</v>
          </cell>
          <cell r="C467" t="str">
            <v>Bahan Bakar Bensin</v>
          </cell>
          <cell r="G467" t="str">
            <v>Mb</v>
          </cell>
          <cell r="H467">
            <v>4500</v>
          </cell>
          <cell r="I467" t="str">
            <v>Liter</v>
          </cell>
        </row>
        <row r="468">
          <cell r="A468" t="str">
            <v xml:space="preserve">       5.</v>
          </cell>
          <cell r="C468" t="str">
            <v>Bahan Bakar Solar</v>
          </cell>
          <cell r="G468" t="str">
            <v>Ms</v>
          </cell>
          <cell r="H468">
            <v>4400</v>
          </cell>
          <cell r="I468" t="str">
            <v>Liter</v>
          </cell>
        </row>
        <row r="469">
          <cell r="A469" t="str">
            <v xml:space="preserve">       6.</v>
          </cell>
          <cell r="C469" t="str">
            <v>Minyak Pelumas</v>
          </cell>
          <cell r="G469" t="str">
            <v>Mp</v>
          </cell>
          <cell r="H469">
            <v>30000</v>
          </cell>
          <cell r="I469" t="str">
            <v>Liter</v>
          </cell>
        </row>
        <row r="470">
          <cell r="A470" t="str">
            <v xml:space="preserve">       7.</v>
          </cell>
          <cell r="C470" t="str">
            <v>PPN diperhitungkan pada lembar Rekapitulasi</v>
          </cell>
        </row>
        <row r="471">
          <cell r="C471" t="str">
            <v>Biaya Pekerjaan</v>
          </cell>
        </row>
        <row r="534">
          <cell r="A534" t="str">
            <v>URAIAN ANALISA ALAT</v>
          </cell>
        </row>
        <row r="537">
          <cell r="A537" t="str">
            <v>No.</v>
          </cell>
          <cell r="C537" t="str">
            <v>U R A I A N</v>
          </cell>
          <cell r="G537" t="str">
            <v>KODE</v>
          </cell>
          <cell r="H537" t="str">
            <v>KOEF.</v>
          </cell>
          <cell r="I537" t="str">
            <v>SATUAN</v>
          </cell>
          <cell r="J537" t="str">
            <v>KET.</v>
          </cell>
        </row>
        <row r="540">
          <cell r="A540" t="str">
            <v>A.</v>
          </cell>
          <cell r="C540" t="str">
            <v>URAIAN PERALATAN</v>
          </cell>
        </row>
        <row r="541">
          <cell r="A541" t="str">
            <v xml:space="preserve">       1.</v>
          </cell>
          <cell r="C541" t="str">
            <v>Jenis Peralatan</v>
          </cell>
          <cell r="G541" t="str">
            <v>WATER PUMP 70-100 mm</v>
          </cell>
          <cell r="J541" t="str">
            <v>E22</v>
          </cell>
        </row>
        <row r="542">
          <cell r="A542" t="str">
            <v xml:space="preserve">       2.</v>
          </cell>
          <cell r="C542" t="str">
            <v>Tenaga</v>
          </cell>
          <cell r="G542" t="str">
            <v>Pw</v>
          </cell>
          <cell r="H542">
            <v>6</v>
          </cell>
          <cell r="I542" t="str">
            <v>HP</v>
          </cell>
        </row>
        <row r="543">
          <cell r="A543" t="str">
            <v xml:space="preserve">       3.</v>
          </cell>
          <cell r="C543" t="str">
            <v>Kapasitas</v>
          </cell>
          <cell r="G543" t="str">
            <v>Cp</v>
          </cell>
          <cell r="H543" t="str">
            <v xml:space="preserve">-  </v>
          </cell>
          <cell r="I543" t="str">
            <v>-</v>
          </cell>
        </row>
        <row r="544">
          <cell r="A544" t="str">
            <v xml:space="preserve">       4.</v>
          </cell>
          <cell r="C544" t="str">
            <v>Alat Baru                :</v>
          </cell>
          <cell r="D544" t="str">
            <v xml:space="preserve">  a.  Umur Ekonomis</v>
          </cell>
          <cell r="G544" t="str">
            <v>A</v>
          </cell>
          <cell r="H544">
            <v>2</v>
          </cell>
          <cell r="I544" t="str">
            <v>Tahun</v>
          </cell>
        </row>
        <row r="545">
          <cell r="D545" t="str">
            <v xml:space="preserve">  b.  Jam Kerja Dalam 1 Tahun</v>
          </cell>
          <cell r="G545" t="str">
            <v>W</v>
          </cell>
          <cell r="H545">
            <v>2000</v>
          </cell>
          <cell r="I545" t="str">
            <v>Jam</v>
          </cell>
        </row>
        <row r="546">
          <cell r="D546" t="str">
            <v xml:space="preserve">  c.  Harga Alat</v>
          </cell>
          <cell r="G546" t="str">
            <v>B</v>
          </cell>
          <cell r="H546">
            <v>18000000</v>
          </cell>
          <cell r="I546" t="str">
            <v>Rupiah</v>
          </cell>
        </row>
        <row r="547">
          <cell r="A547" t="str">
            <v xml:space="preserve">       5.</v>
          </cell>
          <cell r="C547" t="str">
            <v>Alat Yang Dipakai  :</v>
          </cell>
          <cell r="D547" t="str">
            <v xml:space="preserve">  a.  Umur Ekonomis</v>
          </cell>
          <cell r="G547" t="str">
            <v>A'</v>
          </cell>
          <cell r="H547">
            <v>2</v>
          </cell>
          <cell r="I547" t="str">
            <v>Tahun</v>
          </cell>
          <cell r="J547" t="str">
            <v xml:space="preserve"> Alat Baru</v>
          </cell>
        </row>
        <row r="548">
          <cell r="D548" t="str">
            <v xml:space="preserve">  b.  Jam Kerja Dalam 1 Tahun </v>
          </cell>
          <cell r="G548" t="str">
            <v>W'</v>
          </cell>
          <cell r="H548">
            <v>2000</v>
          </cell>
          <cell r="I548" t="str">
            <v>Jam</v>
          </cell>
          <cell r="J548" t="str">
            <v xml:space="preserve"> Alat Baru</v>
          </cell>
        </row>
        <row r="549">
          <cell r="D549" t="str">
            <v xml:space="preserve">  c.  Harga Alat   (*)</v>
          </cell>
          <cell r="G549" t="str">
            <v>B'</v>
          </cell>
          <cell r="H549">
            <v>18000000</v>
          </cell>
          <cell r="I549" t="str">
            <v>Rupiah</v>
          </cell>
          <cell r="J549" t="str">
            <v xml:space="preserve"> Alat Baru</v>
          </cell>
        </row>
        <row r="551">
          <cell r="A551" t="str">
            <v>B.</v>
          </cell>
          <cell r="C551" t="str">
            <v>BIAYA PASTI PER JAM KERJA</v>
          </cell>
        </row>
        <row r="552">
          <cell r="A552" t="str">
            <v xml:space="preserve">       1.</v>
          </cell>
          <cell r="C552" t="str">
            <v>Nilai Sisa Alat</v>
          </cell>
          <cell r="D552" t="str">
            <v>=  10 % x B</v>
          </cell>
          <cell r="G552" t="str">
            <v>C</v>
          </cell>
          <cell r="H552">
            <v>1800000</v>
          </cell>
          <cell r="I552" t="str">
            <v>Rupiah</v>
          </cell>
        </row>
        <row r="554">
          <cell r="A554" t="str">
            <v xml:space="preserve">       2.</v>
          </cell>
          <cell r="C554" t="str">
            <v>Faktor Angsuran Modal    =</v>
          </cell>
          <cell r="E554" t="str">
            <v>i x (1 + i)^A'</v>
          </cell>
          <cell r="G554" t="str">
            <v>D</v>
          </cell>
          <cell r="H554">
            <v>0.65454545454545454</v>
          </cell>
          <cell r="I554" t="str">
            <v>-</v>
          </cell>
        </row>
        <row r="555">
          <cell r="E555" t="str">
            <v>(1 + i)^A' - 1</v>
          </cell>
        </row>
        <row r="556">
          <cell r="A556" t="str">
            <v xml:space="preserve">       3.</v>
          </cell>
          <cell r="C556" t="str">
            <v>Biaya Pasti per Jam  :</v>
          </cell>
        </row>
        <row r="557">
          <cell r="C557" t="str">
            <v>a.  Biaya Pengembalian Modal  =</v>
          </cell>
          <cell r="E557" t="str">
            <v>( B' - C ) x D</v>
          </cell>
          <cell r="G557" t="str">
            <v>E</v>
          </cell>
          <cell r="H557">
            <v>5301.818181818182</v>
          </cell>
          <cell r="I557" t="str">
            <v>Rupiah</v>
          </cell>
        </row>
        <row r="558">
          <cell r="E558" t="str">
            <v>W'</v>
          </cell>
        </row>
        <row r="560">
          <cell r="C560" t="str">
            <v>b.  Asuransi, dll =</v>
          </cell>
          <cell r="D560">
            <v>2E-3</v>
          </cell>
          <cell r="E560" t="str">
            <v xml:space="preserve">  x   B'</v>
          </cell>
          <cell r="G560" t="str">
            <v>F</v>
          </cell>
          <cell r="H560">
            <v>18</v>
          </cell>
          <cell r="I560" t="str">
            <v>Rupiah</v>
          </cell>
        </row>
        <row r="561">
          <cell r="E561" t="str">
            <v>W'</v>
          </cell>
        </row>
        <row r="563">
          <cell r="C563" t="str">
            <v>Biaya Pasti per Jam             =</v>
          </cell>
          <cell r="E563" t="str">
            <v>( E + F )</v>
          </cell>
          <cell r="G563" t="str">
            <v>G</v>
          </cell>
          <cell r="H563">
            <v>5319.818181818182</v>
          </cell>
          <cell r="I563" t="str">
            <v>Rupiah</v>
          </cell>
        </row>
        <row r="565">
          <cell r="A565" t="str">
            <v>C.</v>
          </cell>
          <cell r="C565" t="str">
            <v>BIAYA OPERASI PER JAM KERJA</v>
          </cell>
        </row>
        <row r="567">
          <cell r="A567" t="str">
            <v xml:space="preserve">       1.</v>
          </cell>
          <cell r="C567" t="str">
            <v xml:space="preserve">Bahan Bakar  =  (0.125-0.175 Ltr/HP/Jam)   x Pw x Ms </v>
          </cell>
          <cell r="G567" t="str">
            <v>H</v>
          </cell>
          <cell r="H567">
            <v>3112.5</v>
          </cell>
          <cell r="I567" t="str">
            <v>Rupiah</v>
          </cell>
        </row>
        <row r="569">
          <cell r="A569" t="str">
            <v xml:space="preserve">       2.</v>
          </cell>
          <cell r="C569" t="str">
            <v>Pelumas         =  (0.01-0.02 Ltr/HP/Jam) x Pw x Mp</v>
          </cell>
          <cell r="G569" t="str">
            <v>I</v>
          </cell>
          <cell r="H569">
            <v>1800</v>
          </cell>
          <cell r="I569" t="str">
            <v>Rupiah</v>
          </cell>
        </row>
        <row r="571">
          <cell r="A571" t="str">
            <v xml:space="preserve">       3.</v>
          </cell>
          <cell r="C571" t="str">
            <v>Perawatan dan</v>
          </cell>
          <cell r="D571" t="str">
            <v>(12,5 % - 17,5 %)  x  B'</v>
          </cell>
          <cell r="G571" t="str">
            <v>K</v>
          </cell>
          <cell r="H571">
            <v>1125</v>
          </cell>
          <cell r="I571" t="str">
            <v>Rupiah</v>
          </cell>
        </row>
        <row r="572">
          <cell r="C572" t="str">
            <v xml:space="preserve">        perbaikan    =</v>
          </cell>
          <cell r="D572" t="str">
            <v>W'</v>
          </cell>
        </row>
        <row r="574">
          <cell r="A574" t="str">
            <v xml:space="preserve">       4.</v>
          </cell>
          <cell r="C574" t="str">
            <v>Operator</v>
          </cell>
          <cell r="D574" t="str">
            <v>=   ( 1  Orang / Jam )  x  U1</v>
          </cell>
          <cell r="G574" t="str">
            <v>L</v>
          </cell>
          <cell r="H574">
            <v>10714.285714285714</v>
          </cell>
          <cell r="I574" t="str">
            <v>Rupiah</v>
          </cell>
        </row>
        <row r="575">
          <cell r="A575" t="str">
            <v xml:space="preserve">       5.</v>
          </cell>
          <cell r="C575" t="str">
            <v>Pembantu Operator</v>
          </cell>
          <cell r="D575" t="str">
            <v>=   ( 1  Orang / Jam )  x  U2</v>
          </cell>
          <cell r="G575" t="str">
            <v>M</v>
          </cell>
          <cell r="H575">
            <v>4000</v>
          </cell>
          <cell r="I575" t="str">
            <v>Rupiah</v>
          </cell>
        </row>
        <row r="577">
          <cell r="C577" t="str">
            <v>Biaya Operasi per Jam        =</v>
          </cell>
          <cell r="E577" t="str">
            <v>(H+I+K+L+M)</v>
          </cell>
          <cell r="G577" t="str">
            <v>P</v>
          </cell>
          <cell r="H577">
            <v>20751.785714285714</v>
          </cell>
          <cell r="I577" t="str">
            <v>Rupiah</v>
          </cell>
        </row>
        <row r="579">
          <cell r="A579" t="str">
            <v>D.</v>
          </cell>
          <cell r="C579" t="str">
            <v>TOTAL BIAYA SEWA ALAT / JAM   =   ( G + P )</v>
          </cell>
          <cell r="G579" t="str">
            <v>S</v>
          </cell>
          <cell r="H579">
            <v>26071.603896103894</v>
          </cell>
          <cell r="I579" t="str">
            <v>Rupiah</v>
          </cell>
        </row>
        <row r="582">
          <cell r="A582" t="str">
            <v>E.</v>
          </cell>
          <cell r="C582" t="str">
            <v>LAIN - LAIN</v>
          </cell>
        </row>
        <row r="583">
          <cell r="A583" t="str">
            <v xml:space="preserve">       1.</v>
          </cell>
          <cell r="C583" t="str">
            <v>Tingkat Suku Bunga</v>
          </cell>
          <cell r="G583" t="str">
            <v>i</v>
          </cell>
          <cell r="H583">
            <v>20</v>
          </cell>
          <cell r="I583" t="str">
            <v>% / Tahun</v>
          </cell>
        </row>
        <row r="584">
          <cell r="A584" t="str">
            <v xml:space="preserve">       2.</v>
          </cell>
          <cell r="C584" t="str">
            <v>Upah Operator / Sopir</v>
          </cell>
          <cell r="G584" t="str">
            <v>U1</v>
          </cell>
          <cell r="H584">
            <v>10714.285714285714</v>
          </cell>
          <cell r="I584" t="str">
            <v>Rp./Jam</v>
          </cell>
        </row>
        <row r="585">
          <cell r="A585" t="str">
            <v xml:space="preserve">       3.</v>
          </cell>
          <cell r="C585" t="str">
            <v>Upah Pembantu Operator / Pmb.Sopir</v>
          </cell>
          <cell r="G585" t="str">
            <v>U2</v>
          </cell>
          <cell r="H585">
            <v>4000</v>
          </cell>
          <cell r="I585" t="str">
            <v>Rp./Jam</v>
          </cell>
        </row>
        <row r="586">
          <cell r="A586" t="str">
            <v xml:space="preserve">       4.</v>
          </cell>
          <cell r="C586" t="str">
            <v>Bahan Bakar Bensin</v>
          </cell>
          <cell r="G586" t="str">
            <v>Mb</v>
          </cell>
          <cell r="H586">
            <v>4500</v>
          </cell>
          <cell r="I586" t="str">
            <v>Liter</v>
          </cell>
        </row>
        <row r="587">
          <cell r="A587" t="str">
            <v xml:space="preserve">       5.</v>
          </cell>
          <cell r="C587" t="str">
            <v>Bahan Bakar Solar</v>
          </cell>
          <cell r="G587" t="str">
            <v>Ms</v>
          </cell>
          <cell r="H587">
            <v>4400</v>
          </cell>
          <cell r="I587" t="str">
            <v>Liter</v>
          </cell>
        </row>
        <row r="588">
          <cell r="A588" t="str">
            <v xml:space="preserve">       6.</v>
          </cell>
          <cell r="C588" t="str">
            <v>Minyak Pelumas</v>
          </cell>
          <cell r="G588" t="str">
            <v>Mp</v>
          </cell>
          <cell r="H588">
            <v>30000</v>
          </cell>
          <cell r="I588" t="str">
            <v>Liter</v>
          </cell>
        </row>
        <row r="589">
          <cell r="A589" t="str">
            <v xml:space="preserve">       7.</v>
          </cell>
          <cell r="C589" t="str">
            <v>PPN diperhitungkan pada lembar Rekapitulasi</v>
          </cell>
        </row>
        <row r="590">
          <cell r="C590" t="str">
            <v>Biaya Pekerjaan</v>
          </cell>
        </row>
        <row r="593">
          <cell r="A593" t="str">
            <v>URAIAN ANALISA ALAT</v>
          </cell>
        </row>
        <row r="596">
          <cell r="A596" t="str">
            <v>No.</v>
          </cell>
          <cell r="C596" t="str">
            <v>U R A I A N</v>
          </cell>
          <cell r="G596" t="str">
            <v>KODE</v>
          </cell>
          <cell r="H596" t="str">
            <v>KOEF.</v>
          </cell>
          <cell r="I596" t="str">
            <v>SATUAN</v>
          </cell>
          <cell r="J596" t="str">
            <v>KET.</v>
          </cell>
        </row>
        <row r="599">
          <cell r="A599" t="str">
            <v>A.</v>
          </cell>
          <cell r="C599" t="str">
            <v>URAIAN PERALATAN</v>
          </cell>
        </row>
        <row r="600">
          <cell r="A600" t="str">
            <v xml:space="preserve">       1.</v>
          </cell>
          <cell r="C600" t="str">
            <v>Jenis Peralatan</v>
          </cell>
          <cell r="G600" t="str">
            <v>WATER TANKER 3000-4500 L.</v>
          </cell>
          <cell r="J600" t="str">
            <v>E23</v>
          </cell>
        </row>
        <row r="601">
          <cell r="A601" t="str">
            <v xml:space="preserve">       2.</v>
          </cell>
          <cell r="C601" t="str">
            <v>Tenaga</v>
          </cell>
          <cell r="G601" t="str">
            <v>Pw</v>
          </cell>
          <cell r="H601">
            <v>100</v>
          </cell>
          <cell r="I601" t="str">
            <v>HP</v>
          </cell>
        </row>
        <row r="602">
          <cell r="A602" t="str">
            <v xml:space="preserve">       3.</v>
          </cell>
          <cell r="C602" t="str">
            <v>Kapasitas</v>
          </cell>
          <cell r="G602" t="str">
            <v>Cp</v>
          </cell>
          <cell r="H602">
            <v>4000</v>
          </cell>
          <cell r="I602" t="str">
            <v>Liter</v>
          </cell>
        </row>
        <row r="603">
          <cell r="A603" t="str">
            <v xml:space="preserve">       4.</v>
          </cell>
          <cell r="C603" t="str">
            <v>Alat Baru                :</v>
          </cell>
          <cell r="D603" t="str">
            <v xml:space="preserve">  a.  Umur Ekonomis</v>
          </cell>
          <cell r="G603" t="str">
            <v>A</v>
          </cell>
          <cell r="H603">
            <v>5</v>
          </cell>
          <cell r="I603" t="str">
            <v>Tahun</v>
          </cell>
        </row>
        <row r="604">
          <cell r="D604" t="str">
            <v xml:space="preserve">  b.  Jam Kerja Dalam 1 Tahun</v>
          </cell>
          <cell r="G604" t="str">
            <v>W</v>
          </cell>
          <cell r="H604">
            <v>2000</v>
          </cell>
          <cell r="I604" t="str">
            <v>Jam</v>
          </cell>
        </row>
        <row r="605">
          <cell r="D605" t="str">
            <v xml:space="preserve">  c.  Harga Alat</v>
          </cell>
          <cell r="G605" t="str">
            <v>B</v>
          </cell>
          <cell r="H605">
            <v>132000000</v>
          </cell>
          <cell r="I605" t="str">
            <v>Rupiah</v>
          </cell>
        </row>
        <row r="606">
          <cell r="A606" t="str">
            <v xml:space="preserve">       5.</v>
          </cell>
          <cell r="C606" t="str">
            <v>Alat Yang Dipakai  :</v>
          </cell>
          <cell r="D606" t="str">
            <v xml:space="preserve">  a.  Umur Ekonomis</v>
          </cell>
          <cell r="G606" t="str">
            <v>A'</v>
          </cell>
          <cell r="H606">
            <v>5</v>
          </cell>
          <cell r="I606" t="str">
            <v>Tahun</v>
          </cell>
          <cell r="J606" t="str">
            <v xml:space="preserve"> Alat Baru</v>
          </cell>
        </row>
        <row r="607">
          <cell r="D607" t="str">
            <v xml:space="preserve">  b.  Jam Kerja Dalam 1 Tahun </v>
          </cell>
          <cell r="G607" t="str">
            <v>W'</v>
          </cell>
          <cell r="H607">
            <v>2000</v>
          </cell>
          <cell r="I607" t="str">
            <v>Jam</v>
          </cell>
          <cell r="J607" t="str">
            <v xml:space="preserve"> Alat Baru</v>
          </cell>
        </row>
        <row r="608">
          <cell r="D608" t="str">
            <v xml:space="preserve">  c.  Harga Alat   (*)</v>
          </cell>
          <cell r="G608" t="str">
            <v>B'</v>
          </cell>
          <cell r="H608">
            <v>132000000</v>
          </cell>
          <cell r="I608" t="str">
            <v>Rupiah</v>
          </cell>
          <cell r="J608" t="str">
            <v xml:space="preserve"> Alat Baru</v>
          </cell>
        </row>
        <row r="610">
          <cell r="A610" t="str">
            <v>B.</v>
          </cell>
          <cell r="C610" t="str">
            <v>BIAYA PASTI PER JAM KERJA</v>
          </cell>
        </row>
        <row r="611">
          <cell r="A611" t="str">
            <v xml:space="preserve">       1.</v>
          </cell>
          <cell r="C611" t="str">
            <v>Nilai Sisa Alat</v>
          </cell>
          <cell r="D611" t="str">
            <v>=  10 % x B</v>
          </cell>
          <cell r="G611" t="str">
            <v>C</v>
          </cell>
          <cell r="H611">
            <v>13200000</v>
          </cell>
          <cell r="I611" t="str">
            <v>Rupiah</v>
          </cell>
        </row>
        <row r="613">
          <cell r="A613" t="str">
            <v xml:space="preserve">       2.</v>
          </cell>
          <cell r="C613" t="str">
            <v>Faktor Angsuran Modal    =</v>
          </cell>
          <cell r="E613" t="str">
            <v>i x (1 + i)^A'</v>
          </cell>
          <cell r="G613" t="str">
            <v>D</v>
          </cell>
          <cell r="H613">
            <v>0.33437970328961514</v>
          </cell>
          <cell r="I613" t="str">
            <v>-</v>
          </cell>
        </row>
        <row r="614">
          <cell r="E614" t="str">
            <v>(1 + i)^A' - 1</v>
          </cell>
        </row>
        <row r="615">
          <cell r="A615" t="str">
            <v xml:space="preserve">       3.</v>
          </cell>
          <cell r="C615" t="str">
            <v>Biaya Pasti per Jam  :</v>
          </cell>
        </row>
        <row r="616">
          <cell r="C616" t="str">
            <v>a.  Biaya Pengembalian Modal  =</v>
          </cell>
          <cell r="E616" t="str">
            <v>( B' - C ) x D</v>
          </cell>
          <cell r="G616" t="str">
            <v>E</v>
          </cell>
          <cell r="H616">
            <v>19862.154375403141</v>
          </cell>
          <cell r="I616" t="str">
            <v>Rupiah</v>
          </cell>
        </row>
        <row r="617">
          <cell r="E617" t="str">
            <v>W'</v>
          </cell>
        </row>
        <row r="619">
          <cell r="C619" t="str">
            <v>b.  Asuransi, dll =</v>
          </cell>
          <cell r="D619">
            <v>2E-3</v>
          </cell>
          <cell r="E619" t="str">
            <v xml:space="preserve">  x   B'</v>
          </cell>
          <cell r="G619" t="str">
            <v>F</v>
          </cell>
          <cell r="H619">
            <v>132</v>
          </cell>
          <cell r="I619" t="str">
            <v>Rupiah</v>
          </cell>
        </row>
        <row r="620">
          <cell r="E620" t="str">
            <v>W'</v>
          </cell>
        </row>
        <row r="622">
          <cell r="C622" t="str">
            <v>Biaya Pasti per Jam             =</v>
          </cell>
          <cell r="E622" t="str">
            <v>( E + F )</v>
          </cell>
          <cell r="G622" t="str">
            <v>G</v>
          </cell>
          <cell r="H622">
            <v>19994.154375403141</v>
          </cell>
          <cell r="I622" t="str">
            <v>Rupiah</v>
          </cell>
        </row>
        <row r="624">
          <cell r="A624" t="str">
            <v>C.</v>
          </cell>
          <cell r="C624" t="str">
            <v>BIAYA OPERASI PER JAM KERJA</v>
          </cell>
        </row>
        <row r="626">
          <cell r="A626" t="str">
            <v xml:space="preserve">       1.</v>
          </cell>
          <cell r="C626" t="str">
            <v xml:space="preserve">Bahan Bakar  =  (0.125-0.175 Ltr/HP/Jam)   x Pw x Ms </v>
          </cell>
          <cell r="G626" t="str">
            <v>H</v>
          </cell>
          <cell r="H626">
            <v>27500</v>
          </cell>
          <cell r="I626" t="str">
            <v>Rupiah</v>
          </cell>
        </row>
        <row r="628">
          <cell r="A628" t="str">
            <v xml:space="preserve">       2.</v>
          </cell>
          <cell r="C628" t="str">
            <v>Pelumas         =  (0.01-0.02 Ltr/HP/Jam) x Pw x Mp</v>
          </cell>
          <cell r="G628" t="str">
            <v>I</v>
          </cell>
          <cell r="H628">
            <v>30000</v>
          </cell>
          <cell r="I628" t="str">
            <v>Rupiah</v>
          </cell>
        </row>
        <row r="630">
          <cell r="A630" t="str">
            <v xml:space="preserve">       3.</v>
          </cell>
          <cell r="C630" t="str">
            <v>Perawatan dan</v>
          </cell>
          <cell r="D630" t="str">
            <v>(12,5 % - 17,5 %)  x  B'</v>
          </cell>
          <cell r="G630" t="str">
            <v>K</v>
          </cell>
          <cell r="H630">
            <v>8250</v>
          </cell>
          <cell r="I630" t="str">
            <v>Rupiah</v>
          </cell>
        </row>
        <row r="631">
          <cell r="C631" t="str">
            <v xml:space="preserve">        perbaikan    =</v>
          </cell>
          <cell r="D631" t="str">
            <v>W'</v>
          </cell>
        </row>
        <row r="633">
          <cell r="A633" t="str">
            <v xml:space="preserve">       4.</v>
          </cell>
          <cell r="C633" t="str">
            <v>Operator</v>
          </cell>
          <cell r="D633" t="str">
            <v>=   ( 1  Orang / Jam )  x  U1</v>
          </cell>
          <cell r="G633" t="str">
            <v>L</v>
          </cell>
          <cell r="H633">
            <v>10714.285714285714</v>
          </cell>
          <cell r="I633" t="str">
            <v>Rupiah</v>
          </cell>
        </row>
        <row r="634">
          <cell r="A634" t="str">
            <v xml:space="preserve">       5.</v>
          </cell>
          <cell r="C634" t="str">
            <v>Pembantu Operator</v>
          </cell>
          <cell r="D634" t="str">
            <v>=   ( 1  Orang / Jam )  x  U2</v>
          </cell>
          <cell r="G634" t="str">
            <v>M</v>
          </cell>
          <cell r="H634">
            <v>4000</v>
          </cell>
          <cell r="I634" t="str">
            <v>Rupiah</v>
          </cell>
        </row>
        <row r="636">
          <cell r="C636" t="str">
            <v>Biaya Operasi per Jam        =</v>
          </cell>
          <cell r="E636" t="str">
            <v>(H+I+K+L+M)</v>
          </cell>
          <cell r="G636" t="str">
            <v>P</v>
          </cell>
          <cell r="H636">
            <v>80464.28571428571</v>
          </cell>
          <cell r="I636" t="str">
            <v>Rupiah</v>
          </cell>
        </row>
        <row r="638">
          <cell r="A638" t="str">
            <v>D.</v>
          </cell>
          <cell r="C638" t="str">
            <v>TOTAL BIAYA SEWA ALAT / JAM   =   ( G + P )</v>
          </cell>
          <cell r="G638" t="str">
            <v>S</v>
          </cell>
          <cell r="H638">
            <v>100458.44008968885</v>
          </cell>
          <cell r="I638" t="str">
            <v>Rupiah</v>
          </cell>
        </row>
        <row r="641">
          <cell r="A641" t="str">
            <v>E.</v>
          </cell>
          <cell r="C641" t="str">
            <v>LAIN - LAIN</v>
          </cell>
        </row>
        <row r="642">
          <cell r="A642" t="str">
            <v xml:space="preserve">       1.</v>
          </cell>
          <cell r="C642" t="str">
            <v>Tingkat Suku Bunga</v>
          </cell>
          <cell r="G642" t="str">
            <v>i</v>
          </cell>
          <cell r="H642">
            <v>20</v>
          </cell>
          <cell r="I642" t="str">
            <v>% / Tahun</v>
          </cell>
        </row>
        <row r="643">
          <cell r="A643" t="str">
            <v xml:space="preserve">       2.</v>
          </cell>
          <cell r="C643" t="str">
            <v>Upah Operator / Sopir</v>
          </cell>
          <cell r="G643" t="str">
            <v>U1</v>
          </cell>
          <cell r="H643">
            <v>10714.285714285714</v>
          </cell>
          <cell r="I643" t="str">
            <v>Rp./Jam</v>
          </cell>
        </row>
        <row r="644">
          <cell r="A644" t="str">
            <v xml:space="preserve">       3.</v>
          </cell>
          <cell r="C644" t="str">
            <v>Upah Pembantu Operator / Pmb.Sopir</v>
          </cell>
          <cell r="G644" t="str">
            <v>U2</v>
          </cell>
          <cell r="H644">
            <v>4000</v>
          </cell>
          <cell r="I644" t="str">
            <v>Rp./Jam</v>
          </cell>
        </row>
        <row r="645">
          <cell r="A645" t="str">
            <v xml:space="preserve">       4.</v>
          </cell>
          <cell r="C645" t="str">
            <v>Bahan Bakar Bensin</v>
          </cell>
          <cell r="G645" t="str">
            <v>Mb</v>
          </cell>
          <cell r="H645">
            <v>4500</v>
          </cell>
          <cell r="I645" t="str">
            <v>Liter</v>
          </cell>
        </row>
        <row r="646">
          <cell r="A646" t="str">
            <v xml:space="preserve">       5.</v>
          </cell>
          <cell r="C646" t="str">
            <v>Bahan Bakar Solar</v>
          </cell>
          <cell r="G646" t="str">
            <v>Ms</v>
          </cell>
          <cell r="H646">
            <v>4400</v>
          </cell>
          <cell r="I646" t="str">
            <v>Liter</v>
          </cell>
        </row>
        <row r="647">
          <cell r="A647" t="str">
            <v xml:space="preserve">       6.</v>
          </cell>
          <cell r="C647" t="str">
            <v>Minyak Pelumas</v>
          </cell>
          <cell r="G647" t="str">
            <v>Mp</v>
          </cell>
          <cell r="H647">
            <v>30000</v>
          </cell>
          <cell r="I647" t="str">
            <v>Liter</v>
          </cell>
        </row>
        <row r="648">
          <cell r="A648" t="str">
            <v xml:space="preserve">       7.</v>
          </cell>
          <cell r="C648" t="str">
            <v>PPN diperhitungkan pada lembar Rekapitulasi</v>
          </cell>
        </row>
        <row r="649">
          <cell r="C649" t="str">
            <v>Biaya Pekerjaan</v>
          </cell>
        </row>
        <row r="711">
          <cell r="A711" t="str">
            <v>URAIAN ANALISA ALAT</v>
          </cell>
        </row>
        <row r="714">
          <cell r="A714" t="str">
            <v>No.</v>
          </cell>
          <cell r="C714" t="str">
            <v>U R A I A N</v>
          </cell>
          <cell r="G714" t="str">
            <v>KODE</v>
          </cell>
          <cell r="H714" t="str">
            <v>KOEF.</v>
          </cell>
          <cell r="I714" t="str">
            <v>SATUAN</v>
          </cell>
          <cell r="J714" t="str">
            <v>KET.</v>
          </cell>
        </row>
        <row r="717">
          <cell r="A717" t="str">
            <v>A.</v>
          </cell>
          <cell r="C717" t="str">
            <v>URAIAN PERALATAN</v>
          </cell>
        </row>
        <row r="718">
          <cell r="A718" t="str">
            <v xml:space="preserve">       1.</v>
          </cell>
          <cell r="C718" t="str">
            <v>Jenis Peralatan</v>
          </cell>
          <cell r="G718" t="str">
            <v>JACK HAMMER</v>
          </cell>
          <cell r="J718" t="str">
            <v>E26</v>
          </cell>
        </row>
        <row r="719">
          <cell r="A719" t="str">
            <v xml:space="preserve">       2.</v>
          </cell>
          <cell r="C719" t="str">
            <v>Tenaga</v>
          </cell>
          <cell r="G719" t="str">
            <v>Pw</v>
          </cell>
          <cell r="H719">
            <v>3</v>
          </cell>
          <cell r="I719" t="str">
            <v>HP</v>
          </cell>
        </row>
        <row r="720">
          <cell r="A720" t="str">
            <v xml:space="preserve">       3.</v>
          </cell>
          <cell r="C720" t="str">
            <v>Kapasitas</v>
          </cell>
          <cell r="G720" t="str">
            <v>Cp</v>
          </cell>
          <cell r="H720" t="str">
            <v xml:space="preserve">-  </v>
          </cell>
          <cell r="I720" t="str">
            <v>-</v>
          </cell>
        </row>
        <row r="721">
          <cell r="A721" t="str">
            <v xml:space="preserve">       4.</v>
          </cell>
          <cell r="C721" t="str">
            <v>Alat Baru                :</v>
          </cell>
          <cell r="D721" t="str">
            <v xml:space="preserve">  a.  Umur Ekonomis</v>
          </cell>
          <cell r="G721" t="str">
            <v>A</v>
          </cell>
          <cell r="H721">
            <v>4</v>
          </cell>
          <cell r="I721" t="str">
            <v>Tahun</v>
          </cell>
        </row>
        <row r="722">
          <cell r="D722" t="str">
            <v xml:space="preserve">  b.  Jam Kerja Dalam 1 Tahun</v>
          </cell>
          <cell r="G722" t="str">
            <v>W</v>
          </cell>
          <cell r="H722">
            <v>1000</v>
          </cell>
          <cell r="I722" t="str">
            <v>Jam</v>
          </cell>
        </row>
        <row r="723">
          <cell r="D723" t="str">
            <v xml:space="preserve">  c.  Harga Alat</v>
          </cell>
          <cell r="G723" t="str">
            <v>B</v>
          </cell>
          <cell r="H723">
            <v>26500000</v>
          </cell>
          <cell r="I723" t="str">
            <v>Rupiah</v>
          </cell>
        </row>
        <row r="724">
          <cell r="A724" t="str">
            <v xml:space="preserve">       5.</v>
          </cell>
          <cell r="C724" t="str">
            <v>Alat Yang Dipakai  :</v>
          </cell>
          <cell r="D724" t="str">
            <v xml:space="preserve">  a.  Umur Ekonomis</v>
          </cell>
          <cell r="G724" t="str">
            <v>A'</v>
          </cell>
          <cell r="H724">
            <v>4</v>
          </cell>
          <cell r="I724" t="str">
            <v>Tahun</v>
          </cell>
          <cell r="J724" t="str">
            <v xml:space="preserve"> Alat Baru</v>
          </cell>
        </row>
        <row r="725">
          <cell r="D725" t="str">
            <v xml:space="preserve">  b.  Jam Kerja Dalam 1 Tahun </v>
          </cell>
          <cell r="G725" t="str">
            <v>W'</v>
          </cell>
          <cell r="H725">
            <v>1000</v>
          </cell>
          <cell r="I725" t="str">
            <v>Jam</v>
          </cell>
          <cell r="J725" t="str">
            <v xml:space="preserve"> Alat Baru</v>
          </cell>
        </row>
        <row r="726">
          <cell r="D726" t="str">
            <v xml:space="preserve">  c.  Harga Alat   (*)</v>
          </cell>
          <cell r="G726" t="str">
            <v>B'</v>
          </cell>
          <cell r="H726">
            <v>26500000</v>
          </cell>
          <cell r="I726" t="str">
            <v>Rupiah</v>
          </cell>
          <cell r="J726" t="str">
            <v xml:space="preserve"> Alat Baru</v>
          </cell>
        </row>
        <row r="728">
          <cell r="A728" t="str">
            <v>B.</v>
          </cell>
          <cell r="C728" t="str">
            <v>BIAYA PASTI PER JAM KERJA</v>
          </cell>
        </row>
        <row r="729">
          <cell r="A729" t="str">
            <v xml:space="preserve">       1.</v>
          </cell>
          <cell r="C729" t="str">
            <v>Nilai Sisa Alat</v>
          </cell>
          <cell r="D729" t="str">
            <v>=  10 % x B</v>
          </cell>
          <cell r="G729" t="str">
            <v>C</v>
          </cell>
          <cell r="H729">
            <v>2650000</v>
          </cell>
          <cell r="I729" t="str">
            <v>Rupiah</v>
          </cell>
        </row>
        <row r="731">
          <cell r="A731" t="str">
            <v xml:space="preserve">       2.</v>
          </cell>
          <cell r="C731" t="str">
            <v>Faktor Angsuran Modal    =</v>
          </cell>
          <cell r="E731" t="str">
            <v>i x (1 + i)^A'</v>
          </cell>
          <cell r="G731" t="str">
            <v>D</v>
          </cell>
          <cell r="H731">
            <v>0.38628912071535026</v>
          </cell>
          <cell r="I731" t="str">
            <v>-</v>
          </cell>
        </row>
        <row r="732">
          <cell r="E732" t="str">
            <v>(1 + i)^A' - 1</v>
          </cell>
        </row>
        <row r="733">
          <cell r="A733" t="str">
            <v xml:space="preserve">       3.</v>
          </cell>
          <cell r="C733" t="str">
            <v>Biaya Pasti per Jam  :</v>
          </cell>
        </row>
        <row r="734">
          <cell r="C734" t="str">
            <v>a.  Biaya Pengembalian Modal  =</v>
          </cell>
          <cell r="E734" t="str">
            <v>( B' - C ) x D</v>
          </cell>
          <cell r="G734" t="str">
            <v>E</v>
          </cell>
          <cell r="H734">
            <v>9212.9955290611033</v>
          </cell>
          <cell r="I734" t="str">
            <v>Rupiah</v>
          </cell>
        </row>
        <row r="735">
          <cell r="E735" t="str">
            <v>W'</v>
          </cell>
        </row>
        <row r="737">
          <cell r="C737" t="str">
            <v>b.  Asuransi, dll =</v>
          </cell>
          <cell r="D737">
            <v>2E-3</v>
          </cell>
          <cell r="E737" t="str">
            <v xml:space="preserve">  x   B'</v>
          </cell>
          <cell r="G737" t="str">
            <v>F</v>
          </cell>
          <cell r="H737">
            <v>53</v>
          </cell>
          <cell r="I737" t="str">
            <v>Rupiah</v>
          </cell>
        </row>
        <row r="738">
          <cell r="E738" t="str">
            <v>W'</v>
          </cell>
        </row>
        <row r="740">
          <cell r="C740" t="str">
            <v>Biaya Pasti per Jam             =</v>
          </cell>
          <cell r="E740" t="str">
            <v>( E + F )</v>
          </cell>
          <cell r="G740" t="str">
            <v>G</v>
          </cell>
          <cell r="H740">
            <v>9265.9955290611033</v>
          </cell>
          <cell r="I740" t="str">
            <v>Rupiah</v>
          </cell>
        </row>
        <row r="742">
          <cell r="A742" t="str">
            <v>C.</v>
          </cell>
          <cell r="C742" t="str">
            <v>BIAYA OPERASI PER JAM KERJA</v>
          </cell>
        </row>
        <row r="744">
          <cell r="A744" t="str">
            <v xml:space="preserve">       1.</v>
          </cell>
          <cell r="C744" t="str">
            <v xml:space="preserve">Bahan Bakar  =  (0.125-0.175 Ltr/HP/Jam)   x Pw x Ms </v>
          </cell>
          <cell r="G744" t="str">
            <v>H</v>
          </cell>
          <cell r="H744">
            <v>825</v>
          </cell>
          <cell r="I744" t="str">
            <v>Rupiah</v>
          </cell>
        </row>
        <row r="746">
          <cell r="A746" t="str">
            <v xml:space="preserve">       2.</v>
          </cell>
          <cell r="C746" t="str">
            <v>Pelumas         =  (0.01-0.02 Ltr/HP/Jam) x Pw x Mp</v>
          </cell>
          <cell r="G746" t="str">
            <v>I</v>
          </cell>
          <cell r="H746">
            <v>900</v>
          </cell>
          <cell r="I746" t="str">
            <v>Rupiah</v>
          </cell>
        </row>
        <row r="748">
          <cell r="A748" t="str">
            <v xml:space="preserve">       3.</v>
          </cell>
          <cell r="C748" t="str">
            <v>Perawatan dan</v>
          </cell>
          <cell r="D748" t="str">
            <v>(12,5 % - 17,5 %)  x  B'</v>
          </cell>
          <cell r="G748" t="str">
            <v>K</v>
          </cell>
          <cell r="H748">
            <v>3312.5</v>
          </cell>
          <cell r="I748" t="str">
            <v>Rupiah</v>
          </cell>
        </row>
        <row r="749">
          <cell r="C749" t="str">
            <v xml:space="preserve">        perbaikan    =</v>
          </cell>
          <cell r="D749" t="str">
            <v>W'</v>
          </cell>
        </row>
        <row r="751">
          <cell r="A751" t="str">
            <v xml:space="preserve">       4.</v>
          </cell>
          <cell r="C751" t="str">
            <v>Operator</v>
          </cell>
          <cell r="D751" t="str">
            <v>=   ( 1  Orang / Jam )  x  U1</v>
          </cell>
          <cell r="G751" t="str">
            <v>L</v>
          </cell>
          <cell r="H751">
            <v>10714.285714285714</v>
          </cell>
          <cell r="I751" t="str">
            <v>Rupiah</v>
          </cell>
        </row>
        <row r="752">
          <cell r="A752" t="str">
            <v xml:space="preserve">       5.</v>
          </cell>
          <cell r="C752" t="str">
            <v>Pembantu Operator</v>
          </cell>
          <cell r="D752" t="str">
            <v>=   ( 1  Orang / Jam )  x  U2</v>
          </cell>
          <cell r="G752" t="str">
            <v>M</v>
          </cell>
          <cell r="H752">
            <v>4000</v>
          </cell>
          <cell r="I752" t="str">
            <v>Rupiah</v>
          </cell>
        </row>
        <row r="754">
          <cell r="C754" t="str">
            <v>Biaya Operasi per Jam        =</v>
          </cell>
          <cell r="E754" t="str">
            <v>(H+I+K+L+M)</v>
          </cell>
          <cell r="G754" t="str">
            <v>P</v>
          </cell>
          <cell r="H754">
            <v>19751.785714285714</v>
          </cell>
          <cell r="I754" t="str">
            <v>Rupiah</v>
          </cell>
        </row>
        <row r="756">
          <cell r="A756" t="str">
            <v>D.</v>
          </cell>
          <cell r="C756" t="str">
            <v>TOTAL BIAYA SEWA ALAT / JAM   =   ( G + P )</v>
          </cell>
          <cell r="G756" t="str">
            <v>S</v>
          </cell>
          <cell r="H756">
            <v>29017.781243346817</v>
          </cell>
          <cell r="I756" t="str">
            <v>Rupiah</v>
          </cell>
        </row>
        <row r="759">
          <cell r="A759" t="str">
            <v>E.</v>
          </cell>
          <cell r="C759" t="str">
            <v>LAIN - LAIN</v>
          </cell>
        </row>
        <row r="760">
          <cell r="A760" t="str">
            <v xml:space="preserve">       1.</v>
          </cell>
          <cell r="C760" t="str">
            <v>Tingkat Suku Bunga</v>
          </cell>
          <cell r="G760" t="str">
            <v>i</v>
          </cell>
          <cell r="H760">
            <v>20</v>
          </cell>
          <cell r="I760" t="str">
            <v>% / Tahun</v>
          </cell>
        </row>
        <row r="761">
          <cell r="A761" t="str">
            <v xml:space="preserve">       2.</v>
          </cell>
          <cell r="C761" t="str">
            <v>Upah Operator / Sopir</v>
          </cell>
          <cell r="G761" t="str">
            <v>U1</v>
          </cell>
          <cell r="H761">
            <v>10714.285714285714</v>
          </cell>
          <cell r="I761" t="str">
            <v>Rp./Jam</v>
          </cell>
        </row>
        <row r="762">
          <cell r="A762" t="str">
            <v xml:space="preserve">       3.</v>
          </cell>
          <cell r="C762" t="str">
            <v>Upah Pembantu Operator / Pmb.Sopir</v>
          </cell>
          <cell r="G762" t="str">
            <v>U2</v>
          </cell>
          <cell r="H762">
            <v>4000</v>
          </cell>
          <cell r="I762" t="str">
            <v>Rp./Jam</v>
          </cell>
        </row>
        <row r="763">
          <cell r="A763" t="str">
            <v xml:space="preserve">       4.</v>
          </cell>
          <cell r="C763" t="str">
            <v>Bahan Bakar Bensin</v>
          </cell>
          <cell r="G763" t="str">
            <v>Mb</v>
          </cell>
          <cell r="H763">
            <v>4500</v>
          </cell>
          <cell r="I763" t="str">
            <v>Liter</v>
          </cell>
        </row>
        <row r="764">
          <cell r="A764" t="str">
            <v xml:space="preserve">       5.</v>
          </cell>
          <cell r="C764" t="str">
            <v>Bahan Bakar Solar</v>
          </cell>
          <cell r="G764" t="str">
            <v>Ms</v>
          </cell>
          <cell r="H764">
            <v>4400</v>
          </cell>
          <cell r="I764" t="str">
            <v>Liter</v>
          </cell>
        </row>
        <row r="765">
          <cell r="A765" t="str">
            <v xml:space="preserve">       6.</v>
          </cell>
          <cell r="C765" t="str">
            <v>Minyak Pelumas</v>
          </cell>
          <cell r="G765" t="str">
            <v>Mp</v>
          </cell>
          <cell r="H765">
            <v>30000</v>
          </cell>
          <cell r="I765" t="str">
            <v>Liter</v>
          </cell>
        </row>
        <row r="766">
          <cell r="A766" t="str">
            <v xml:space="preserve">       7.</v>
          </cell>
          <cell r="C766" t="str">
            <v>PPN diperhitungkan pada lembar Rekapitulasi</v>
          </cell>
        </row>
        <row r="767">
          <cell r="C767" t="str">
            <v>Biaya Pekerjaan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Bahan"/>
      <sheetName val="DU&amp;B"/>
    </sheetNames>
    <sheetDataSet>
      <sheetData sheetId="0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RAB"/>
      <sheetName val="ANALISA HARGA"/>
      <sheetName val="analisa asli"/>
      <sheetName val="HARGA BAHAN"/>
      <sheetName val="KURVA S"/>
    </sheetNames>
    <sheetDataSet>
      <sheetData sheetId="0">
        <row r="20">
          <cell r="E20" t="e">
            <v>#REF!</v>
          </cell>
        </row>
        <row r="22">
          <cell r="E22" t="e">
            <v>#REF!</v>
          </cell>
        </row>
        <row r="24">
          <cell r="E2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 t="str">
            <v/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 t="str">
            <v/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 t="str">
            <v/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 t="str">
            <v/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 t="str">
            <v/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 t="str">
            <v/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 t="str">
            <v/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 t="str">
            <v/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 t="str">
            <v/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 t="str">
            <v/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 t="str">
            <v/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 t="str">
            <v/>
          </cell>
        </row>
        <row r="2275">
          <cell r="C2275" t="str">
            <v/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 t="str">
            <v/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 t="str">
            <v/>
          </cell>
          <cell r="H2356" t="str">
            <v/>
          </cell>
          <cell r="I2356" t="str">
            <v/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 t="str">
            <v/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 t="str">
            <v/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 t="str">
            <v/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 t="str">
            <v/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 t="str">
            <v/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 t="str">
            <v/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alatan"/>
      <sheetName val="Peralatan (2)"/>
      <sheetName val="Sheet1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276000000</v>
          </cell>
        </row>
      </sheetData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/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K "/>
      <sheetName val="Analisa BOW"/>
      <sheetName val="Upah + Bahan"/>
      <sheetName val="Jalan "/>
      <sheetName val="Rekap"/>
      <sheetName val="Jemb"/>
      <sheetName val="3-DIV5"/>
    </sheetNames>
    <sheetDataSet>
      <sheetData sheetId="0"/>
      <sheetData sheetId="1">
        <row r="172">
          <cell r="N172">
            <v>9945.24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>
        <row r="363">
          <cell r="I363">
            <v>17870.55</v>
          </cell>
        </row>
        <row r="582">
          <cell r="I582">
            <v>8380</v>
          </cell>
        </row>
        <row r="655">
          <cell r="I655">
            <v>81500</v>
          </cell>
        </row>
        <row r="801">
          <cell r="I801">
            <v>196260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"/>
      <sheetName val="Bull"/>
      <sheetName val="Exca"/>
      <sheetName val="truk"/>
      <sheetName val="Loader"/>
      <sheetName val="Compac"/>
      <sheetName val="Hrg Alat"/>
      <sheetName val="Anl Teknik"/>
      <sheetName val="Upah "/>
      <sheetName val="Analisa"/>
      <sheetName val="Kuantias"/>
      <sheetName val="Rekap"/>
      <sheetName val="sc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3">
          <cell r="F43">
            <v>17000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  <row r="2155">
          <cell r="L2155" t="str">
            <v>FORMULIR STANDAR UNTUK</v>
          </cell>
        </row>
        <row r="2156">
          <cell r="L2156" t="str">
            <v>PEREKAMAN ANALISA MASING-MASING HARGA SATUAN</v>
          </cell>
        </row>
        <row r="2157">
          <cell r="L2157">
            <v>0</v>
          </cell>
        </row>
        <row r="2160">
          <cell r="L2160" t="str">
            <v>PROYEK</v>
          </cell>
          <cell r="O2160" t="str">
            <v>: ADB Earthquake and Tsunami Emergency Support Project (ETESP)</v>
          </cell>
        </row>
        <row r="2161">
          <cell r="L2161" t="str">
            <v>No. PAKET KONTRAK</v>
          </cell>
          <cell r="O2161" t="str">
            <v>: Package 4 East Coast Road 1</v>
          </cell>
        </row>
        <row r="2162">
          <cell r="L2162" t="str">
            <v>NAMA PAKET</v>
          </cell>
          <cell r="O2162" t="str">
            <v>: Contract XI</v>
          </cell>
        </row>
        <row r="2163">
          <cell r="L2163" t="str">
            <v>PROP / KAB / KODYA</v>
          </cell>
          <cell r="O2163" t="str">
            <v>: Nanggroe Aceh Darussalam (NAD)</v>
          </cell>
        </row>
        <row r="2164">
          <cell r="L2164" t="str">
            <v>ITEM PEMBAYARAN NO.</v>
          </cell>
          <cell r="O2164" t="str">
            <v>:  7.10 (3)</v>
          </cell>
          <cell r="R2164" t="str">
            <v>PERKIRAAN VOL. PEK.</v>
          </cell>
          <cell r="T2164" t="str">
            <v>:</v>
          </cell>
          <cell r="U2164">
            <v>0</v>
          </cell>
        </row>
        <row r="2165">
          <cell r="L2165" t="str">
            <v>JENIS PEKERJAAN</v>
          </cell>
          <cell r="O2165" t="str">
            <v>:  Bronjong (Gabions)</v>
          </cell>
          <cell r="R2165" t="str">
            <v>TOTAL HARGA (Rp.)</v>
          </cell>
          <cell r="T2165" t="str">
            <v>:</v>
          </cell>
          <cell r="U2165">
            <v>0</v>
          </cell>
        </row>
        <row r="2166">
          <cell r="L2166" t="str">
            <v>SATUAN PEMBAYARAN</v>
          </cell>
          <cell r="O2166" t="str">
            <v>:  M3</v>
          </cell>
          <cell r="R2166" t="str">
            <v>% THD. BIAYA PROYEK</v>
          </cell>
          <cell r="T2166" t="str">
            <v>:</v>
          </cell>
          <cell r="U2166" t="e">
            <v>#DIV/0!</v>
          </cell>
        </row>
        <row r="2169">
          <cell r="Q2169" t="str">
            <v>PERKIRAAN</v>
          </cell>
          <cell r="R2169" t="str">
            <v>HARGA</v>
          </cell>
          <cell r="S2169" t="str">
            <v>JUMLAH</v>
          </cell>
        </row>
        <row r="2170">
          <cell r="L2170" t="str">
            <v>NO.</v>
          </cell>
          <cell r="N2170" t="str">
            <v>KOMPONEN</v>
          </cell>
          <cell r="P2170" t="str">
            <v>SATUAN</v>
          </cell>
          <cell r="Q2170" t="str">
            <v>KUANTITAS</v>
          </cell>
          <cell r="R2170" t="str">
            <v>SATUAN</v>
          </cell>
          <cell r="S2170" t="str">
            <v>HARGA</v>
          </cell>
        </row>
        <row r="2171">
          <cell r="R2171" t="str">
            <v>(Rp.)</v>
          </cell>
          <cell r="S2171" t="str">
            <v>(Rp.)</v>
          </cell>
        </row>
        <row r="2174">
          <cell r="L2174" t="str">
            <v>A.</v>
          </cell>
          <cell r="N2174" t="str">
            <v>TENAGA</v>
          </cell>
        </row>
        <row r="2176">
          <cell r="L2176" t="str">
            <v>1.</v>
          </cell>
          <cell r="N2176" t="str">
            <v>Pekerja Biasa</v>
          </cell>
          <cell r="O2176" t="str">
            <v>(L01)</v>
          </cell>
          <cell r="P2176" t="str">
            <v>jam</v>
          </cell>
          <cell r="Q2176">
            <v>5.25</v>
          </cell>
          <cell r="R2176">
            <v>5000</v>
          </cell>
          <cell r="U2176">
            <v>26250</v>
          </cell>
        </row>
        <row r="2177">
          <cell r="L2177" t="str">
            <v>2.</v>
          </cell>
          <cell r="N2177" t="str">
            <v>Tukang</v>
          </cell>
          <cell r="O2177" t="str">
            <v>(L02)</v>
          </cell>
          <cell r="P2177" t="str">
            <v>jam</v>
          </cell>
          <cell r="Q2177">
            <v>2.625</v>
          </cell>
          <cell r="R2177">
            <v>7500</v>
          </cell>
          <cell r="U2177">
            <v>19687.5</v>
          </cell>
        </row>
        <row r="2178">
          <cell r="L2178" t="str">
            <v>3.</v>
          </cell>
          <cell r="N2178" t="str">
            <v>Mandor</v>
          </cell>
          <cell r="O2178" t="str">
            <v>(L03)</v>
          </cell>
          <cell r="P2178" t="str">
            <v>jam</v>
          </cell>
          <cell r="Q2178">
            <v>0.875</v>
          </cell>
          <cell r="R2178">
            <v>6250</v>
          </cell>
          <cell r="U2178">
            <v>5468.75</v>
          </cell>
        </row>
        <row r="2180">
          <cell r="Q2180" t="str">
            <v xml:space="preserve">JUMLAH HARGA TENAGA   </v>
          </cell>
          <cell r="U2180">
            <v>51406.25</v>
          </cell>
        </row>
        <row r="2182">
          <cell r="L2182" t="str">
            <v>B.</v>
          </cell>
          <cell r="N2182" t="str">
            <v>BAHAN</v>
          </cell>
        </row>
        <row r="2184">
          <cell r="L2184" t="str">
            <v>1.</v>
          </cell>
          <cell r="N2184" t="str">
            <v xml:space="preserve">Kawat Bronjong </v>
          </cell>
          <cell r="O2184" t="str">
            <v>(M57)</v>
          </cell>
          <cell r="P2184" t="str">
            <v>Kg</v>
          </cell>
          <cell r="Q2184">
            <v>15</v>
          </cell>
          <cell r="R2184">
            <v>13850</v>
          </cell>
          <cell r="U2184">
            <v>207750</v>
          </cell>
        </row>
        <row r="2185">
          <cell r="L2185" t="str">
            <v>2.</v>
          </cell>
          <cell r="N2185" t="str">
            <v>Batu</v>
          </cell>
          <cell r="O2185" t="e">
            <v>#REF!</v>
          </cell>
          <cell r="P2185" t="str">
            <v>M3</v>
          </cell>
          <cell r="Q2185">
            <v>1.1000000000000001</v>
          </cell>
          <cell r="R2185">
            <v>61300</v>
          </cell>
          <cell r="U2185">
            <v>67430</v>
          </cell>
        </row>
        <row r="2190">
          <cell r="Q2190" t="str">
            <v xml:space="preserve">JUMLAH HARGA BAHAN   </v>
          </cell>
          <cell r="U2190">
            <v>275180</v>
          </cell>
        </row>
        <row r="2192">
          <cell r="L2192" t="str">
            <v>C.</v>
          </cell>
          <cell r="N2192" t="str">
            <v>PERALATAN</v>
          </cell>
        </row>
        <row r="2194">
          <cell r="L2194" t="str">
            <v>1.</v>
          </cell>
          <cell r="N2194" t="str">
            <v>Alat Bantu</v>
          </cell>
          <cell r="P2194" t="str">
            <v>Ls</v>
          </cell>
          <cell r="Q2194">
            <v>1</v>
          </cell>
          <cell r="R2194">
            <v>750</v>
          </cell>
          <cell r="U2194">
            <v>750</v>
          </cell>
        </row>
        <row r="2202">
          <cell r="Q2202" t="str">
            <v xml:space="preserve">JUMLAH HARGA PERALATAN   </v>
          </cell>
          <cell r="U2202">
            <v>750</v>
          </cell>
        </row>
        <row r="2204">
          <cell r="L2204" t="str">
            <v>D.</v>
          </cell>
          <cell r="N2204" t="str">
            <v>JUMLAH HARGA TENAGA, BAHAN DAN PERALATAN  ( A + B + C )</v>
          </cell>
          <cell r="U2204">
            <v>327336.25</v>
          </cell>
        </row>
        <row r="2205">
          <cell r="L2205" t="str">
            <v>E.</v>
          </cell>
          <cell r="N2205" t="str">
            <v>OVERHEAD &amp; PROFIT</v>
          </cell>
          <cell r="P2205">
            <v>10</v>
          </cell>
          <cell r="Q2205" t="str">
            <v>%  x  D</v>
          </cell>
          <cell r="U2205">
            <v>32733.625</v>
          </cell>
        </row>
        <row r="2206">
          <cell r="L2206" t="str">
            <v>F.</v>
          </cell>
          <cell r="N2206" t="str">
            <v>HARGA SATUAN PEKERJAAN  ( D + E )</v>
          </cell>
          <cell r="U2206">
            <v>360069.875</v>
          </cell>
        </row>
        <row r="2207">
          <cell r="L2207" t="str">
            <v>Note: 1</v>
          </cell>
          <cell r="N2207" t="str">
            <v>SATUAN dapat berdasarkan atas jam operasi untuk Tenaga Kerja dan Peralatan, volume dan/atau ukuran</v>
          </cell>
        </row>
        <row r="2208">
          <cell r="N2208" t="str">
            <v>berat untuk bahan-bahan.</v>
          </cell>
        </row>
        <row r="2209">
          <cell r="L2209">
            <v>2</v>
          </cell>
          <cell r="N2209" t="str">
            <v>Kuantitas satuan adalah kuantitas setiap komponen untuk menyelesaikan satu satuan pekerjaan dari nomor</v>
          </cell>
        </row>
        <row r="2210">
          <cell r="N2210" t="str">
            <v>mata pembayaran.</v>
          </cell>
        </row>
        <row r="2211">
          <cell r="L2211">
            <v>3</v>
          </cell>
          <cell r="N2211" t="str">
            <v>Biaya satuan untuk peralatan sudah termasuk bahan bakar, bahan habis dipakai dan operator.</v>
          </cell>
        </row>
        <row r="2212">
          <cell r="L2212">
            <v>4</v>
          </cell>
          <cell r="N2212" t="str">
            <v>Biaya satuan sudah termasuk pengeluaran untuk seluruh pajak yang berkaitan (tetapi tidak termasuk PPN</v>
          </cell>
        </row>
        <row r="2213">
          <cell r="N2213" t="str">
            <v>yang dibayar dari kontrak) dan biaya-biaya lainnya.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J15">
            <v>4250</v>
          </cell>
        </row>
        <row r="22">
          <cell r="J22">
            <v>127400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  <sheetName val="DRUP (ASLI)"/>
      <sheetName val="L 1"/>
      <sheetName val="SEX"/>
      <sheetName val="UPAH&amp;BAHAN"/>
      <sheetName val="NP"/>
      <sheetName val="Uraian Anl Gali"/>
      <sheetName val="AHSP"/>
    </sheetNames>
    <sheetDataSet>
      <sheetData sheetId="0" refreshError="1"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EKAP RAB ALL"/>
      <sheetName val="RAB MEURAH DUA. OK"/>
      <sheetName val="1. RAB. OK"/>
      <sheetName val="JANGKA BUYA"/>
      <sheetName val="2. RAB . OK"/>
      <sheetName val="PANTE RAJA"/>
      <sheetName val="3. RAB. OK"/>
      <sheetName val="BANDAR DUA"/>
      <sheetName val="4. RAB OK"/>
      <sheetName val="ANALISA 2016"/>
      <sheetName val="HARGA UPAH BAHAN"/>
      <sheetName val="1. BACKUP DATA"/>
      <sheetName val="1. ANALISA TEKNIS BETON"/>
      <sheetName val="2. BACKUP DATA "/>
      <sheetName val="2. ANALISA TEKNIS BETON"/>
      <sheetName val="3. BACKUP DATA "/>
      <sheetName val="3. ANALISA TEKNIS BETON"/>
      <sheetName val="4. BACKUP DATA"/>
      <sheetName val="PERHITUNGAN K-3"/>
      <sheetName val="TEMPLITE"/>
      <sheetName val="TEMPLITE SPSE"/>
      <sheetName val="Sheet6"/>
      <sheetName val="Sheet5"/>
      <sheetName val="PERHITUNGAN K 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D7">
            <v>88000</v>
          </cell>
        </row>
        <row r="8">
          <cell r="D8">
            <v>100000</v>
          </cell>
        </row>
        <row r="9">
          <cell r="D9">
            <v>130000</v>
          </cell>
        </row>
        <row r="10">
          <cell r="D10">
            <v>110000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alatan"/>
      <sheetName val="Peralatan (2)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276000000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  <sheetName val="Bill of Quantities"/>
      <sheetName val="TAB"/>
      <sheetName val="DH"/>
    </sheetNames>
    <sheetDataSet>
      <sheetData sheetId="0" refreshError="1">
        <row r="6">
          <cell r="D6">
            <v>25000</v>
          </cell>
        </row>
        <row r="29">
          <cell r="D29">
            <v>17340</v>
          </cell>
        </row>
        <row r="42">
          <cell r="D42">
            <v>1800000</v>
          </cell>
        </row>
        <row r="78">
          <cell r="D78">
            <v>5985</v>
          </cell>
        </row>
        <row r="79">
          <cell r="D79">
            <v>5985</v>
          </cell>
        </row>
        <row r="80">
          <cell r="D80">
            <v>75000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Hrg"/>
      <sheetName val="Anl (3)"/>
      <sheetName val="Sheet2"/>
      <sheetName val="Sheet3"/>
    </sheetNames>
    <sheetDataSet>
      <sheetData sheetId="0"/>
      <sheetData sheetId="1">
        <row r="8">
          <cell r="B8" t="str">
            <v>BAHAN</v>
          </cell>
        </row>
        <row r="9">
          <cell r="B9" t="str">
            <v>Batu Bata</v>
          </cell>
          <cell r="D9" t="str">
            <v>Bh</v>
          </cell>
          <cell r="E9" t="str">
            <v>Rp</v>
          </cell>
          <cell r="F9">
            <v>525</v>
          </cell>
        </row>
        <row r="10">
          <cell r="B10" t="str">
            <v>Besi beton</v>
          </cell>
          <cell r="D10" t="str">
            <v>Kg</v>
          </cell>
          <cell r="E10" t="str">
            <v>Rp</v>
          </cell>
          <cell r="F10">
            <v>5000</v>
          </cell>
        </row>
      </sheetData>
      <sheetData sheetId="2"/>
      <sheetData sheetId="3"/>
      <sheetData sheetId="4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Hrg"/>
      <sheetName val="Anl (2)"/>
      <sheetName val="Sheet2"/>
      <sheetName val="Sheet3"/>
    </sheetNames>
    <sheetDataSet>
      <sheetData sheetId="0"/>
      <sheetData sheetId="1">
        <row r="8">
          <cell r="B8" t="str">
            <v>BAHAN</v>
          </cell>
        </row>
        <row r="9">
          <cell r="B9" t="str">
            <v>Batu Bata</v>
          </cell>
          <cell r="D9" t="str">
            <v>Bh</v>
          </cell>
          <cell r="E9" t="str">
            <v>Rp</v>
          </cell>
          <cell r="F9">
            <v>525</v>
          </cell>
        </row>
      </sheetData>
      <sheetData sheetId="2"/>
      <sheetData sheetId="3"/>
      <sheetData sheetId="4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rg"/>
      <sheetName val="HS"/>
      <sheetName val="harga satuan pekerjaan"/>
      <sheetName val="HARGA BAHAN"/>
      <sheetName val="Rab."/>
      <sheetName val="DRUP (ASLI)"/>
      <sheetName val="Anl. SNI"/>
      <sheetName val="H_BHN"/>
      <sheetName val="Upah&amp;Bahan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Q"/>
      <sheetName val="BASIC"/>
      <sheetName val="DAFTAR TANYA"/>
      <sheetName val="SCHED"/>
      <sheetName val="REK-RAB"/>
      <sheetName val="ANALISA"/>
      <sheetName val="RAB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duk"/>
      <sheetName val="Penawaran"/>
      <sheetName val="Rekap. Jalan"/>
      <sheetName val="Rekap Total"/>
      <sheetName val="Kuantitas &amp; Harga"/>
      <sheetName val="Anl. Mobilisasi"/>
      <sheetName val="Anl. Tehnis"/>
      <sheetName val="Analisa"/>
      <sheetName val="Harga Satuan"/>
      <sheetName val="Rekap Drainase"/>
      <sheetName val="Anl. Drainase"/>
      <sheetName val="Rekap Air Bersih"/>
      <sheetName val="Anl. Air Bersih"/>
      <sheetName val="Rekap Air Kotor"/>
      <sheetName val="Anl. Air Kotor"/>
      <sheetName val="Rekap Persampahan"/>
      <sheetName val="Anl. Persampahan"/>
      <sheetName val="Rekap Lanscape"/>
      <sheetName val="Anl. Lanscape"/>
      <sheetName val="H Sat Lanscape"/>
      <sheetName val="Metode"/>
      <sheetName val="Jadwal Pelaksanaan"/>
      <sheetName val="Jadwal Alat"/>
      <sheetName val="Jadwal Bahan"/>
      <sheetName val="Perhit. Bahan"/>
      <sheetName val="Kap.Pemecah Batu"/>
      <sheetName val="Kapasitas AMP"/>
      <sheetName val="Mat On Site"/>
      <sheetName val="MP. Utama"/>
      <sheetName val="Peralatan"/>
      <sheetName val="Personil Inti"/>
      <sheetName val="Subkon"/>
      <sheetName val="Kulit"/>
      <sheetName val="Aritmatik"/>
      <sheetName val="Kelengkapan"/>
    </sheetNames>
    <sheetDataSet>
      <sheetData sheetId="0"/>
      <sheetData sheetId="1"/>
      <sheetData sheetId="2"/>
      <sheetData sheetId="3"/>
      <sheetData sheetId="4">
        <row r="101">
          <cell r="C101" t="str">
            <v>DIVISI  5.  PERKERASAN  BERBUTIR</v>
          </cell>
        </row>
        <row r="103">
          <cell r="A103" t="str">
            <v>5.1 (1)</v>
          </cell>
          <cell r="C103" t="str">
            <v>Lapis Pondasi Agregat Kelas A</v>
          </cell>
          <cell r="F103" t="str">
            <v>M3</v>
          </cell>
          <cell r="G103">
            <v>1575</v>
          </cell>
          <cell r="H103">
            <v>345017.81</v>
          </cell>
          <cell r="I103">
            <v>543403050.75</v>
          </cell>
        </row>
        <row r="104">
          <cell r="A104" t="str">
            <v>5.1 (2)</v>
          </cell>
          <cell r="C104" t="str">
            <v>Lapis Pondasi Agregat Kelas B</v>
          </cell>
          <cell r="F104" t="str">
            <v>M3</v>
          </cell>
          <cell r="G104">
            <v>2100</v>
          </cell>
          <cell r="H104">
            <v>271349.43</v>
          </cell>
          <cell r="I104">
            <v>569833803</v>
          </cell>
        </row>
        <row r="106">
          <cell r="A106" t="str">
            <v>5.2 (1)</v>
          </cell>
          <cell r="C106" t="str">
            <v>Lapis Pondasi Agregat Kelas C</v>
          </cell>
          <cell r="F106" t="str">
            <v>M3</v>
          </cell>
        </row>
        <row r="108">
          <cell r="A108" t="str">
            <v>5.3 (1)</v>
          </cell>
          <cell r="C108" t="str">
            <v>Cement Treated Base (CTB)</v>
          </cell>
          <cell r="F108" t="str">
            <v>M3</v>
          </cell>
        </row>
        <row r="109">
          <cell r="A109" t="str">
            <v>5.3 (2)</v>
          </cell>
          <cell r="C109" t="str">
            <v>Cement Treated Sub Base (CTSB)</v>
          </cell>
          <cell r="F109" t="str">
            <v>M3</v>
          </cell>
        </row>
        <row r="111">
          <cell r="A111" t="str">
            <v>5.4 (1)</v>
          </cell>
          <cell r="C111" t="str">
            <v>Semen Untuk Lapis Pondasi Semen Tanah</v>
          </cell>
          <cell r="F111" t="str">
            <v>Ton</v>
          </cell>
        </row>
        <row r="112">
          <cell r="A112" t="str">
            <v>5.4 (2)</v>
          </cell>
          <cell r="C112" t="str">
            <v>Lapis Pondasi Semen Tanah</v>
          </cell>
          <cell r="F112" t="str">
            <v>M3</v>
          </cell>
        </row>
        <row r="114">
          <cell r="A114" t="str">
            <v>5.5</v>
          </cell>
          <cell r="C114" t="str">
            <v>Perkerasan Beton</v>
          </cell>
          <cell r="F114" t="str">
            <v>M3</v>
          </cell>
        </row>
        <row r="118">
          <cell r="C118" t="str">
            <v>Jumlah Harga Pekerjaan DIVISI 5 (masuk pada Rekapitulasi Perkiraan Harga Pekerjaan)</v>
          </cell>
          <cell r="I118">
            <v>1113236853.75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)"/>
      <sheetName val="Analisa (ok)"/>
      <sheetName val="Rekap"/>
      <sheetName val="Kuan&amp;Harga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/>
      <sheetData sheetId="1"/>
      <sheetData sheetId="2"/>
      <sheetData sheetId="3">
        <row r="30">
          <cell r="I30">
            <v>19000</v>
          </cell>
        </row>
        <row r="38">
          <cell r="I38">
            <v>3900</v>
          </cell>
        </row>
        <row r="55">
          <cell r="I55">
            <v>571000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DAFTAR HARGA"/>
    </sheetNames>
    <sheetDataSet>
      <sheetData sheetId="0" refreshError="1"/>
      <sheetData sheetId="1" refreshError="1">
        <row r="12">
          <cell r="E12">
            <v>28500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"/>
      <sheetName val="Bahan"/>
    </sheetNames>
    <sheetDataSet>
      <sheetData sheetId="0"/>
      <sheetData sheetId="1">
        <row r="15">
          <cell r="D15">
            <v>50000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Upah"/>
      <sheetName val="Methode"/>
      <sheetName val="Struktur"/>
      <sheetName val="T Schedule"/>
      <sheetName val="Ask&amp;Answer"/>
      <sheetName val="HRG BHN"/>
      <sheetName val="BQ_E20_02_Rp_"/>
      <sheetName val="Bahan"/>
      <sheetName val="HB"/>
      <sheetName val="BQ Sekolah Citra Berkat"/>
      <sheetName val="ANA-HRG"/>
      <sheetName val="RAB Stamford"/>
      <sheetName val="I-KAMAR"/>
      <sheetName val="rab g. menara pengawas"/>
      <sheetName val="Price Biaya Cadangan"/>
      <sheetName val="BQ_Rekapitulasi  Akhir"/>
      <sheetName val="harga"/>
    </sheetNames>
    <sheetDataSet>
      <sheetData sheetId="0" refreshError="1"/>
      <sheetData sheetId="1" refreshError="1"/>
      <sheetData sheetId="2" refreshError="1">
        <row r="37">
          <cell r="I37">
            <v>731360</v>
          </cell>
        </row>
        <row r="45">
          <cell r="I45">
            <v>1225680</v>
          </cell>
        </row>
        <row r="55">
          <cell r="I55">
            <v>1579700</v>
          </cell>
        </row>
        <row r="72">
          <cell r="I72">
            <v>1709190</v>
          </cell>
        </row>
        <row r="81">
          <cell r="I81">
            <v>1781700</v>
          </cell>
        </row>
        <row r="90">
          <cell r="I90">
            <v>2215830</v>
          </cell>
        </row>
        <row r="99">
          <cell r="I99">
            <v>1607250</v>
          </cell>
        </row>
        <row r="108">
          <cell r="I108">
            <v>1912290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view="pageBreakPreview" topLeftCell="B1" zoomScaleNormal="100" zoomScaleSheetLayoutView="100" workbookViewId="0">
      <selection activeCell="F23" sqref="F23"/>
    </sheetView>
  </sheetViews>
  <sheetFormatPr defaultColWidth="9.21875" defaultRowHeight="15" customHeight="1"/>
  <cols>
    <col min="1" max="1" width="7.33203125" style="9" customWidth="1"/>
    <col min="2" max="2" width="10.109375" style="9" customWidth="1"/>
    <col min="3" max="3" width="12.21875" style="9" customWidth="1"/>
    <col min="4" max="4" width="17.109375" style="9" customWidth="1"/>
    <col min="5" max="5" width="17.88671875" style="9" customWidth="1"/>
    <col min="6" max="6" width="23.109375" style="21" customWidth="1"/>
    <col min="7" max="7" width="9.21875" style="9"/>
    <col min="8" max="8" width="14.5546875" style="9" customWidth="1"/>
    <col min="9" max="16384" width="9.21875" style="9"/>
  </cols>
  <sheetData>
    <row r="1" spans="1:6" s="2" customFormat="1" ht="20.100000000000001" customHeight="1">
      <c r="A1" s="1" t="s">
        <v>0</v>
      </c>
      <c r="B1" s="1"/>
      <c r="F1" s="3"/>
    </row>
    <row r="2" spans="1:6" s="2" customFormat="1" ht="20.100000000000001" customHeight="1">
      <c r="A2" s="1" t="str">
        <f>+RAB!A2</f>
        <v>PEKERJAAN CLUBHOUSE + POOL</v>
      </c>
      <c r="B2" s="1"/>
      <c r="F2" s="3"/>
    </row>
    <row r="3" spans="1:6" s="2" customFormat="1" ht="20.100000000000001" customHeight="1">
      <c r="A3" s="1" t="s">
        <v>230</v>
      </c>
      <c r="B3" s="1"/>
      <c r="F3" s="3"/>
    </row>
    <row r="5" spans="1:6" s="4" customFormat="1" ht="15" customHeight="1">
      <c r="A5" s="523" t="s">
        <v>1</v>
      </c>
      <c r="B5" s="525" t="s">
        <v>2</v>
      </c>
      <c r="C5" s="526"/>
      <c r="D5" s="526"/>
      <c r="E5" s="527"/>
      <c r="F5" s="531" t="s">
        <v>3</v>
      </c>
    </row>
    <row r="6" spans="1:6" s="4" customFormat="1" ht="15" customHeight="1" thickBot="1">
      <c r="A6" s="524"/>
      <c r="B6" s="528"/>
      <c r="C6" s="529"/>
      <c r="D6" s="529"/>
      <c r="E6" s="530"/>
      <c r="F6" s="532"/>
    </row>
    <row r="7" spans="1:6" ht="15" customHeight="1" thickTop="1">
      <c r="A7" s="5" t="str">
        <f>RAB!A8</f>
        <v>I</v>
      </c>
      <c r="B7" s="6" t="str">
        <f>RAB!B8</f>
        <v>PEKERJAAN PERSIAPAN</v>
      </c>
      <c r="C7" s="7"/>
      <c r="D7" s="7"/>
      <c r="E7" s="7"/>
      <c r="F7" s="8">
        <f>RAB!G20</f>
        <v>63389015</v>
      </c>
    </row>
    <row r="8" spans="1:6" ht="15" customHeight="1">
      <c r="A8" s="10" t="str">
        <f>+RAB!A21</f>
        <v>II</v>
      </c>
      <c r="B8" s="11" t="str">
        <f>+RAB!B21</f>
        <v>PEKERJAAN TANAH</v>
      </c>
      <c r="C8" s="12"/>
      <c r="D8" s="13"/>
      <c r="E8" s="13"/>
      <c r="F8" s="14">
        <f>RAB!G33</f>
        <v>41008550</v>
      </c>
    </row>
    <row r="9" spans="1:6" ht="15" customHeight="1">
      <c r="A9" s="10" t="str">
        <f>+RAB!A34</f>
        <v>III</v>
      </c>
      <c r="B9" s="11" t="str">
        <f>+RAB!B34</f>
        <v>PEKERJAAN PONDASI &amp; SLOOF</v>
      </c>
      <c r="C9" s="13"/>
      <c r="D9" s="13"/>
      <c r="E9" s="13"/>
      <c r="F9" s="14">
        <f>RAB!G65</f>
        <v>151218588.80397585</v>
      </c>
    </row>
    <row r="10" spans="1:6" ht="15" customHeight="1">
      <c r="A10" s="10" t="str">
        <f>+RAB!A66</f>
        <v>IV</v>
      </c>
      <c r="B10" s="11" t="str">
        <f>+RAB!B66</f>
        <v>PEKERJAAN BETON LANTAI I</v>
      </c>
      <c r="C10" s="12"/>
      <c r="D10" s="13"/>
      <c r="E10" s="13"/>
      <c r="F10" s="14">
        <f>RAB!G90</f>
        <v>317442372.27293491</v>
      </c>
    </row>
    <row r="11" spans="1:6" ht="15" customHeight="1">
      <c r="A11" s="10" t="str">
        <f>+RAB!A91</f>
        <v>V</v>
      </c>
      <c r="B11" s="11" t="str">
        <f>+RAB!B91</f>
        <v>PEKERJAAN BETON LANTAI ATAP</v>
      </c>
      <c r="C11" s="12"/>
      <c r="D11" s="13"/>
      <c r="E11" s="13"/>
      <c r="F11" s="14">
        <f>RAB!G115</f>
        <v>51341329.35003496</v>
      </c>
    </row>
    <row r="12" spans="1:6" ht="15" customHeight="1">
      <c r="A12" s="10" t="str">
        <f>+RAB!A116</f>
        <v>VI</v>
      </c>
      <c r="B12" s="11" t="str">
        <f>+RAB!B116</f>
        <v>PEKERJAAN PASANGAN DAN PLESTERAN</v>
      </c>
      <c r="C12" s="13"/>
      <c r="D12" s="13"/>
      <c r="E12" s="13"/>
      <c r="F12" s="14">
        <f>RAB!G131</f>
        <v>123975307.17400002</v>
      </c>
    </row>
    <row r="13" spans="1:6" ht="15" customHeight="1">
      <c r="A13" s="10" t="str">
        <f>+RAB!A132</f>
        <v>VII</v>
      </c>
      <c r="B13" s="11" t="str">
        <f>+RAB!B132</f>
        <v>PEKERJAAN PELAPIS LANTAI DAN DINDING</v>
      </c>
      <c r="C13" s="12"/>
      <c r="D13" s="13"/>
      <c r="E13" s="13"/>
      <c r="F13" s="14">
        <f>RAB!G148</f>
        <v>271476889.07766861</v>
      </c>
    </row>
    <row r="14" spans="1:6" ht="15" customHeight="1">
      <c r="A14" s="10" t="str">
        <f>+RAB!A149</f>
        <v>VIII</v>
      </c>
      <c r="B14" s="11" t="str">
        <f>+RAB!B149</f>
        <v>PEKERJAAN PLAFOND</v>
      </c>
      <c r="C14" s="13"/>
      <c r="D14" s="13"/>
      <c r="E14" s="13"/>
      <c r="F14" s="14">
        <f>RAB!G159</f>
        <v>36130680</v>
      </c>
    </row>
    <row r="15" spans="1:6" ht="15" customHeight="1">
      <c r="A15" s="10" t="str">
        <f>+RAB!A160</f>
        <v>IX</v>
      </c>
      <c r="B15" s="11" t="str">
        <f>+RAB!B160</f>
        <v>PEKERJAAN PINTU DAN JENDELA</v>
      </c>
      <c r="C15" s="13"/>
      <c r="D15" s="13"/>
      <c r="E15" s="13"/>
      <c r="F15" s="14">
        <f>RAB!G175</f>
        <v>116335521.13513514</v>
      </c>
    </row>
    <row r="16" spans="1:6" ht="15.75" customHeight="1">
      <c r="A16" s="10" t="str">
        <f>+RAB!A176</f>
        <v>X</v>
      </c>
      <c r="B16" s="11" t="str">
        <f>+RAB!B176</f>
        <v>PEKERJAAN ATAP</v>
      </c>
      <c r="C16" s="13"/>
      <c r="D16" s="13"/>
      <c r="E16" s="13"/>
      <c r="F16" s="14">
        <f>RAB!G194</f>
        <v>347199123.33333337</v>
      </c>
    </row>
    <row r="17" spans="1:8" ht="15" customHeight="1">
      <c r="A17" s="10" t="str">
        <f>+RAB!A195</f>
        <v>XI</v>
      </c>
      <c r="B17" s="11" t="str">
        <f>+RAB!B195</f>
        <v>PEKERJAAN PENGECATAN</v>
      </c>
      <c r="C17" s="13"/>
      <c r="D17" s="13"/>
      <c r="E17" s="13"/>
      <c r="F17" s="14">
        <f>RAB!G207</f>
        <v>24616773.080357138</v>
      </c>
    </row>
    <row r="18" spans="1:8" ht="15" customHeight="1">
      <c r="A18" s="10" t="str">
        <f>+RAB!A208</f>
        <v>XII</v>
      </c>
      <c r="B18" s="11" t="str">
        <f>+RAB!B208</f>
        <v>PEKERJAAN SANITAIR</v>
      </c>
      <c r="C18" s="13"/>
      <c r="D18" s="13"/>
      <c r="E18" s="13"/>
      <c r="F18" s="14">
        <f>RAB!G244</f>
        <v>69800123.75</v>
      </c>
    </row>
    <row r="19" spans="1:8" ht="15" customHeight="1">
      <c r="A19" s="10" t="str">
        <f>+RAB!A245</f>
        <v>XIII</v>
      </c>
      <c r="B19" s="11" t="str">
        <f>+RAB!B245</f>
        <v>PEKERJAAN LISTRIK</v>
      </c>
      <c r="C19" s="13"/>
      <c r="D19" s="13"/>
      <c r="E19" s="13"/>
      <c r="F19" s="14">
        <f>RAB!G297</f>
        <v>24343000</v>
      </c>
    </row>
    <row r="20" spans="1:8" ht="15" customHeight="1">
      <c r="A20" s="10" t="str">
        <f>RAB!A298</f>
        <v>XIV</v>
      </c>
      <c r="B20" s="11" t="str">
        <f>RAB!B298</f>
        <v>PEKERJAAN LAIN - LAIN</v>
      </c>
      <c r="C20" s="13"/>
      <c r="D20" s="13"/>
      <c r="E20" s="13"/>
      <c r="F20" s="14">
        <f>RAB!G305</f>
        <v>1000000</v>
      </c>
    </row>
    <row r="21" spans="1:8" ht="15" customHeight="1" thickBot="1">
      <c r="A21" s="15"/>
      <c r="B21" s="16"/>
      <c r="C21" s="17"/>
      <c r="D21" s="17"/>
      <c r="E21" s="17"/>
      <c r="F21" s="18"/>
    </row>
    <row r="22" spans="1:8" ht="15" customHeight="1" thickTop="1">
      <c r="E22" s="19" t="s">
        <v>4</v>
      </c>
      <c r="F22" s="20">
        <f>SUM(F7:F21)</f>
        <v>1639277272.9774399</v>
      </c>
      <c r="H22" s="21"/>
    </row>
    <row r="23" spans="1:8" ht="15" customHeight="1">
      <c r="E23" s="19" t="s">
        <v>597</v>
      </c>
      <c r="F23" s="484">
        <f>6.62%*F22</f>
        <v>108520155.47110651</v>
      </c>
      <c r="H23" s="21"/>
    </row>
    <row r="24" spans="1:8" ht="15" customHeight="1">
      <c r="E24" s="19" t="s">
        <v>598</v>
      </c>
      <c r="F24" s="484">
        <f>F23+F22</f>
        <v>1747797428.4485464</v>
      </c>
      <c r="H24" s="21"/>
    </row>
    <row r="25" spans="1:8" ht="15" customHeight="1">
      <c r="E25" s="19" t="s">
        <v>5</v>
      </c>
      <c r="F25" s="521">
        <f>ROUNDDOWN(F24,-5)</f>
        <v>1747700000</v>
      </c>
    </row>
    <row r="29" spans="1:8" ht="15" customHeight="1">
      <c r="F29" s="22"/>
    </row>
    <row r="31" spans="1:8" ht="15" customHeight="1">
      <c r="E31" s="23"/>
      <c r="F31" s="24"/>
    </row>
  </sheetData>
  <mergeCells count="3">
    <mergeCell ref="A5:A6"/>
    <mergeCell ref="B5:E6"/>
    <mergeCell ref="F5:F6"/>
  </mergeCells>
  <printOptions horizontalCentered="1"/>
  <pageMargins left="3.937007874015748E-2" right="3.937007874015748E-2" top="1.7322834645669292" bottom="0.55118110236220474" header="0.31496062992125984" footer="0.31496062992125984"/>
  <pageSetup paperSize="9" orientation="portrait" horizontalDpi="300" verticalDpi="300" r:id="rId1"/>
  <headerFooter scaleWithDoc="0"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4"/>
  <sheetViews>
    <sheetView tabSelected="1" view="pageBreakPreview" topLeftCell="A19" zoomScaleNormal="100" zoomScaleSheetLayoutView="100" workbookViewId="0">
      <selection activeCell="H36" sqref="H36"/>
    </sheetView>
  </sheetViews>
  <sheetFormatPr defaultColWidth="9.21875" defaultRowHeight="15" customHeight="1" outlineLevelCol="1"/>
  <cols>
    <col min="1" max="1" width="7.5546875" style="9" customWidth="1"/>
    <col min="2" max="2" width="56.77734375" style="85" customWidth="1"/>
    <col min="3" max="3" width="36.6640625" style="9" bestFit="1" customWidth="1" outlineLevel="1"/>
    <col min="4" max="4" width="7.33203125" style="9" customWidth="1"/>
    <col min="5" max="5" width="9.5546875" style="86" bestFit="1" customWidth="1"/>
    <col min="6" max="6" width="16.88671875" style="47" customWidth="1"/>
    <col min="7" max="7" width="16.88671875" style="9" customWidth="1"/>
    <col min="8" max="8" width="13.109375" style="9" bestFit="1" customWidth="1"/>
    <col min="9" max="9" width="17.6640625" style="9" bestFit="1" customWidth="1"/>
    <col min="10" max="10" width="12.77734375" style="9" bestFit="1" customWidth="1"/>
    <col min="11" max="11" width="11.5546875" style="9" bestFit="1" customWidth="1"/>
    <col min="12" max="16384" width="9.21875" style="9"/>
  </cols>
  <sheetData>
    <row r="1" spans="1:7" ht="20.100000000000001" customHeight="1">
      <c r="A1" s="25" t="s">
        <v>6</v>
      </c>
      <c r="B1" s="26"/>
      <c r="C1" s="27" t="s">
        <v>7</v>
      </c>
      <c r="D1" s="533" t="s">
        <v>8</v>
      </c>
      <c r="E1" s="533"/>
      <c r="F1" s="533"/>
      <c r="G1" s="533"/>
    </row>
    <row r="2" spans="1:7" ht="20.100000000000001" customHeight="1">
      <c r="A2" s="25" t="s">
        <v>9</v>
      </c>
      <c r="B2" s="26"/>
      <c r="C2" s="30"/>
      <c r="D2" s="533"/>
      <c r="E2" s="533"/>
      <c r="F2" s="533"/>
      <c r="G2" s="533"/>
    </row>
    <row r="3" spans="1:7" ht="20.100000000000001" customHeight="1">
      <c r="A3" s="25" t="str">
        <f>REKAP!A3</f>
        <v>District 9</v>
      </c>
      <c r="B3" s="26"/>
      <c r="C3" s="30"/>
      <c r="D3" s="533" t="s">
        <v>10</v>
      </c>
      <c r="E3" s="533"/>
      <c r="F3" s="533"/>
      <c r="G3" s="533"/>
    </row>
    <row r="4" spans="1:7" ht="20.100000000000001" customHeight="1">
      <c r="A4" s="31"/>
      <c r="B4" s="32"/>
      <c r="C4" s="30"/>
      <c r="D4" s="533"/>
      <c r="E4" s="533"/>
      <c r="F4" s="533"/>
      <c r="G4" s="533"/>
    </row>
    <row r="5" spans="1:7" ht="20.100000000000001" customHeight="1">
      <c r="A5" s="33" t="s">
        <v>11</v>
      </c>
      <c r="B5" s="32"/>
      <c r="C5" s="30"/>
      <c r="D5" s="28"/>
      <c r="E5" s="28"/>
      <c r="F5" s="28"/>
      <c r="G5" s="28"/>
    </row>
    <row r="6" spans="1:7" ht="7.5" customHeight="1">
      <c r="A6" s="31"/>
      <c r="B6" s="32"/>
      <c r="C6" s="29"/>
      <c r="D6" s="30"/>
      <c r="E6" s="34"/>
      <c r="F6" s="35"/>
      <c r="G6" s="35"/>
    </row>
    <row r="7" spans="1:7" s="139" customFormat="1" ht="24.9" customHeight="1">
      <c r="A7" s="133" t="s">
        <v>12</v>
      </c>
      <c r="B7" s="134"/>
      <c r="C7" s="135" t="s">
        <v>13</v>
      </c>
      <c r="D7" s="136" t="s">
        <v>14</v>
      </c>
      <c r="E7" s="137" t="s">
        <v>15</v>
      </c>
      <c r="F7" s="138" t="s">
        <v>16</v>
      </c>
      <c r="G7" s="138" t="s">
        <v>17</v>
      </c>
    </row>
    <row r="8" spans="1:7" s="146" customFormat="1" ht="15" customHeight="1">
      <c r="A8" s="140" t="s">
        <v>18</v>
      </c>
      <c r="B8" s="141" t="s">
        <v>19</v>
      </c>
      <c r="C8" s="142"/>
      <c r="D8" s="143"/>
      <c r="E8" s="144"/>
      <c r="F8" s="145"/>
      <c r="G8" s="145"/>
    </row>
    <row r="9" spans="1:7" s="139" customFormat="1" ht="15" customHeight="1">
      <c r="A9" s="147">
        <v>1</v>
      </c>
      <c r="B9" s="131" t="s">
        <v>20</v>
      </c>
      <c r="C9" s="148"/>
      <c r="D9" s="149" t="s">
        <v>21</v>
      </c>
      <c r="E9" s="150">
        <v>1</v>
      </c>
      <c r="F9" s="151">
        <v>10000000</v>
      </c>
      <c r="G9" s="151">
        <f t="shared" ref="G9:G19" si="0">E9*F9</f>
        <v>10000000</v>
      </c>
    </row>
    <row r="10" spans="1:7" s="139" customFormat="1" ht="15" customHeight="1">
      <c r="A10" s="147">
        <f>A9+1</f>
        <v>2</v>
      </c>
      <c r="B10" s="131" t="s">
        <v>22</v>
      </c>
      <c r="C10" s="148"/>
      <c r="D10" s="149" t="s">
        <v>23</v>
      </c>
      <c r="E10" s="489">
        <f>(39+39+37+37)*0+171</f>
        <v>171</v>
      </c>
      <c r="F10" s="152">
        <f>Analisa!F13</f>
        <v>21820</v>
      </c>
      <c r="G10" s="151">
        <f t="shared" si="0"/>
        <v>3731220</v>
      </c>
    </row>
    <row r="11" spans="1:7" s="139" customFormat="1" ht="15" customHeight="1">
      <c r="A11" s="147">
        <f>A10+1</f>
        <v>3</v>
      </c>
      <c r="B11" s="131" t="s">
        <v>24</v>
      </c>
      <c r="C11" s="148"/>
      <c r="D11" s="149" t="s">
        <v>25</v>
      </c>
      <c r="E11" s="150">
        <v>1</v>
      </c>
      <c r="F11" s="151">
        <v>2000000</v>
      </c>
      <c r="G11" s="151">
        <f t="shared" si="0"/>
        <v>2000000</v>
      </c>
    </row>
    <row r="12" spans="1:7" s="139" customFormat="1" ht="15" customHeight="1">
      <c r="A12" s="147">
        <f>A11+1</f>
        <v>4</v>
      </c>
      <c r="B12" s="131" t="s">
        <v>26</v>
      </c>
      <c r="C12" s="148"/>
      <c r="D12" s="149" t="s">
        <v>25</v>
      </c>
      <c r="E12" s="150">
        <v>1</v>
      </c>
      <c r="F12" s="151">
        <v>3000000</v>
      </c>
      <c r="G12" s="151">
        <f t="shared" si="0"/>
        <v>3000000</v>
      </c>
    </row>
    <row r="13" spans="1:7" s="139" customFormat="1" ht="15" customHeight="1">
      <c r="A13" s="147">
        <f>A12+1</f>
        <v>5</v>
      </c>
      <c r="B13" s="131" t="s">
        <v>27</v>
      </c>
      <c r="C13" s="148"/>
      <c r="D13" s="149" t="s">
        <v>25</v>
      </c>
      <c r="E13" s="150">
        <v>1</v>
      </c>
      <c r="F13" s="151">
        <v>5000000</v>
      </c>
      <c r="G13" s="151">
        <f t="shared" si="0"/>
        <v>5000000</v>
      </c>
    </row>
    <row r="14" spans="1:7" s="139" customFormat="1" ht="15" customHeight="1">
      <c r="A14" s="147">
        <f>A13+1</f>
        <v>6</v>
      </c>
      <c r="B14" s="131" t="s">
        <v>28</v>
      </c>
      <c r="C14" s="148"/>
      <c r="D14" s="149" t="s">
        <v>23</v>
      </c>
      <c r="E14" s="150">
        <f>45+45+40.5+40.5</f>
        <v>171</v>
      </c>
      <c r="F14" s="151">
        <f>Analisa!F223</f>
        <v>223145</v>
      </c>
      <c r="G14" s="151">
        <f t="shared" si="0"/>
        <v>38157795</v>
      </c>
    </row>
    <row r="15" spans="1:7" s="139" customFormat="1" ht="15" customHeight="1">
      <c r="A15" s="147"/>
      <c r="B15" s="131"/>
      <c r="C15" s="148"/>
      <c r="D15" s="149"/>
      <c r="E15" s="153"/>
      <c r="F15" s="151"/>
      <c r="G15" s="151">
        <f t="shared" si="0"/>
        <v>0</v>
      </c>
    </row>
    <row r="16" spans="1:7" s="139" customFormat="1" ht="15" customHeight="1">
      <c r="A16" s="154"/>
      <c r="B16" s="155" t="s">
        <v>29</v>
      </c>
      <c r="C16" s="148"/>
      <c r="D16" s="149"/>
      <c r="E16" s="153"/>
      <c r="F16" s="151"/>
      <c r="G16" s="151">
        <f t="shared" si="0"/>
        <v>0</v>
      </c>
    </row>
    <row r="17" spans="1:10" s="160" customFormat="1" ht="15" customHeight="1">
      <c r="A17" s="154">
        <v>1</v>
      </c>
      <c r="B17" s="46" t="s">
        <v>600</v>
      </c>
      <c r="C17" s="156"/>
      <c r="D17" s="157" t="s">
        <v>25</v>
      </c>
      <c r="E17" s="158">
        <v>1</v>
      </c>
      <c r="F17" s="159">
        <v>1500000</v>
      </c>
      <c r="G17" s="151">
        <f t="shared" si="0"/>
        <v>1500000</v>
      </c>
    </row>
    <row r="18" spans="1:10" s="139" customFormat="1" ht="15" customHeight="1">
      <c r="A18" s="154">
        <v>2</v>
      </c>
      <c r="B18" s="155" t="s">
        <v>30</v>
      </c>
      <c r="C18" s="148"/>
      <c r="D18" s="149"/>
      <c r="E18" s="153"/>
      <c r="F18" s="151"/>
      <c r="G18" s="151">
        <f t="shared" si="0"/>
        <v>0</v>
      </c>
    </row>
    <row r="19" spans="1:10" s="139" customFormat="1" ht="15" customHeight="1">
      <c r="A19" s="147"/>
      <c r="B19" s="131"/>
      <c r="C19" s="148"/>
      <c r="D19" s="149"/>
      <c r="E19" s="153"/>
      <c r="F19" s="151"/>
      <c r="G19" s="151">
        <f t="shared" si="0"/>
        <v>0</v>
      </c>
    </row>
    <row r="20" spans="1:10" s="168" customFormat="1" ht="15" customHeight="1">
      <c r="A20" s="161"/>
      <c r="B20" s="162"/>
      <c r="C20" s="163"/>
      <c r="D20" s="164"/>
      <c r="E20" s="165"/>
      <c r="F20" s="166"/>
      <c r="G20" s="167">
        <f>SUM(G9:G19)</f>
        <v>63389015</v>
      </c>
    </row>
    <row r="21" spans="1:10" s="146" customFormat="1" ht="15" customHeight="1">
      <c r="A21" s="140" t="s">
        <v>31</v>
      </c>
      <c r="B21" s="141" t="s">
        <v>32</v>
      </c>
      <c r="C21" s="142"/>
      <c r="D21" s="143"/>
      <c r="E21" s="144"/>
      <c r="F21" s="145"/>
      <c r="G21" s="145"/>
    </row>
    <row r="22" spans="1:10" s="139" customFormat="1" ht="15" customHeight="1">
      <c r="A22" s="147">
        <v>1</v>
      </c>
      <c r="B22" s="131" t="s">
        <v>34</v>
      </c>
      <c r="C22" s="148"/>
      <c r="D22" s="149" t="s">
        <v>35</v>
      </c>
      <c r="E22" s="489">
        <f>65*0+53</f>
        <v>53</v>
      </c>
      <c r="F22" s="151">
        <v>25000</v>
      </c>
      <c r="G22" s="151">
        <f t="shared" ref="G22:G32" si="1">E22*F22</f>
        <v>1325000</v>
      </c>
    </row>
    <row r="23" spans="1:10" s="139" customFormat="1" ht="15" customHeight="1">
      <c r="A23" s="147">
        <f t="shared" ref="A23:A27" si="2">A22+1</f>
        <v>2</v>
      </c>
      <c r="B23" s="131" t="s">
        <v>36</v>
      </c>
      <c r="C23" s="148"/>
      <c r="D23" s="149" t="s">
        <v>37</v>
      </c>
      <c r="E23" s="150">
        <f>67.42</f>
        <v>67.42</v>
      </c>
      <c r="F23" s="151">
        <v>75000</v>
      </c>
      <c r="G23" s="151">
        <f t="shared" si="1"/>
        <v>5056500</v>
      </c>
    </row>
    <row r="24" spans="1:10" s="139" customFormat="1" ht="15" customHeight="1">
      <c r="A24" s="147">
        <f t="shared" si="2"/>
        <v>3</v>
      </c>
      <c r="B24" s="131" t="s">
        <v>38</v>
      </c>
      <c r="C24" s="148"/>
      <c r="D24" s="149" t="s">
        <v>37</v>
      </c>
      <c r="E24" s="150">
        <f>0.4*E23</f>
        <v>26.968000000000004</v>
      </c>
      <c r="F24" s="151">
        <v>60000</v>
      </c>
      <c r="G24" s="151">
        <f t="shared" si="1"/>
        <v>1618080.0000000002</v>
      </c>
    </row>
    <row r="25" spans="1:10" s="139" customFormat="1" ht="15" customHeight="1">
      <c r="A25" s="147">
        <f t="shared" si="2"/>
        <v>4</v>
      </c>
      <c r="B25" s="131" t="s">
        <v>39</v>
      </c>
      <c r="C25" s="148"/>
      <c r="D25" s="149" t="s">
        <v>40</v>
      </c>
      <c r="E25" s="150">
        <f>416*0.2+0.5*0.5*24+0.85*0.5*2+1*0.5*16</f>
        <v>98.05</v>
      </c>
      <c r="F25" s="151">
        <f>Analisa!F92</f>
        <v>3150</v>
      </c>
      <c r="G25" s="151">
        <f t="shared" si="1"/>
        <v>308857.5</v>
      </c>
    </row>
    <row r="26" spans="1:10" s="139" customFormat="1" ht="15" customHeight="1">
      <c r="A26" s="147">
        <f t="shared" si="2"/>
        <v>5</v>
      </c>
      <c r="B26" s="131" t="s">
        <v>41</v>
      </c>
      <c r="C26" s="148"/>
      <c r="D26" s="149" t="s">
        <v>40</v>
      </c>
      <c r="E26" s="150">
        <v>423.75</v>
      </c>
      <c r="F26" s="151">
        <f>F25</f>
        <v>3150</v>
      </c>
      <c r="G26" s="151">
        <f t="shared" si="1"/>
        <v>1334812.5</v>
      </c>
    </row>
    <row r="27" spans="1:10" s="139" customFormat="1" ht="15" customHeight="1">
      <c r="A27" s="147">
        <f t="shared" si="2"/>
        <v>6</v>
      </c>
      <c r="B27" s="131" t="s">
        <v>42</v>
      </c>
      <c r="C27" s="148"/>
      <c r="D27" s="149" t="s">
        <v>37</v>
      </c>
      <c r="E27" s="150">
        <f>378*0.4</f>
        <v>151.20000000000002</v>
      </c>
      <c r="F27" s="151">
        <f>Analisa!F88</f>
        <v>174000</v>
      </c>
      <c r="G27" s="151">
        <f t="shared" si="1"/>
        <v>26308800.000000004</v>
      </c>
    </row>
    <row r="28" spans="1:10" s="139" customFormat="1" ht="15" customHeight="1">
      <c r="A28" s="147"/>
      <c r="B28" s="131"/>
      <c r="C28" s="148"/>
      <c r="D28" s="149"/>
      <c r="E28" s="150"/>
      <c r="F28" s="151"/>
      <c r="G28" s="151">
        <f t="shared" si="1"/>
        <v>0</v>
      </c>
    </row>
    <row r="29" spans="1:10" s="139" customFormat="1" ht="15" customHeight="1">
      <c r="A29" s="154"/>
      <c r="B29" s="155" t="s">
        <v>29</v>
      </c>
      <c r="C29" s="148"/>
      <c r="D29" s="149"/>
      <c r="E29" s="153"/>
      <c r="F29" s="151"/>
      <c r="G29" s="151">
        <f t="shared" si="1"/>
        <v>0</v>
      </c>
    </row>
    <row r="30" spans="1:10" s="160" customFormat="1" ht="15" customHeight="1">
      <c r="A30" s="154">
        <v>1</v>
      </c>
      <c r="B30" s="155" t="s">
        <v>599</v>
      </c>
      <c r="C30" s="156"/>
      <c r="D30" s="149" t="s">
        <v>37</v>
      </c>
      <c r="E30" s="158">
        <f>E23-E24</f>
        <v>40.451999999999998</v>
      </c>
      <c r="F30" s="159">
        <v>125000</v>
      </c>
      <c r="G30" s="151">
        <f t="shared" si="1"/>
        <v>5056500</v>
      </c>
      <c r="J30" s="139"/>
    </row>
    <row r="31" spans="1:10" s="160" customFormat="1" ht="15" customHeight="1">
      <c r="A31" s="154">
        <f>1+A30</f>
        <v>2</v>
      </c>
      <c r="B31" s="155" t="s">
        <v>30</v>
      </c>
      <c r="C31" s="156"/>
      <c r="D31" s="157"/>
      <c r="E31" s="158"/>
      <c r="F31" s="159"/>
      <c r="G31" s="151">
        <f t="shared" si="1"/>
        <v>0</v>
      </c>
      <c r="J31" s="139"/>
    </row>
    <row r="32" spans="1:10" s="139" customFormat="1" ht="15" customHeight="1">
      <c r="A32" s="147"/>
      <c r="B32" s="170"/>
      <c r="C32" s="148"/>
      <c r="D32" s="149"/>
      <c r="E32" s="150"/>
      <c r="F32" s="151"/>
      <c r="G32" s="151">
        <f t="shared" si="1"/>
        <v>0</v>
      </c>
    </row>
    <row r="33" spans="1:8" s="168" customFormat="1" ht="15" customHeight="1">
      <c r="A33" s="161"/>
      <c r="B33" s="162"/>
      <c r="C33" s="163"/>
      <c r="D33" s="164"/>
      <c r="E33" s="165"/>
      <c r="F33" s="166"/>
      <c r="G33" s="167">
        <f>SUM(G22:G32)</f>
        <v>41008550</v>
      </c>
    </row>
    <row r="34" spans="1:8" s="146" customFormat="1" ht="15" customHeight="1">
      <c r="A34" s="140" t="s">
        <v>44</v>
      </c>
      <c r="B34" s="141" t="s">
        <v>231</v>
      </c>
      <c r="C34" s="142"/>
      <c r="D34" s="143"/>
      <c r="E34" s="144"/>
      <c r="F34" s="145"/>
      <c r="G34" s="145"/>
    </row>
    <row r="35" spans="1:8" s="139" customFormat="1" ht="15" customHeight="1">
      <c r="A35" s="171"/>
      <c r="B35" s="172" t="s">
        <v>247</v>
      </c>
      <c r="C35" s="173"/>
      <c r="D35" s="149"/>
      <c r="E35" s="153"/>
      <c r="F35" s="151"/>
      <c r="G35" s="151"/>
    </row>
    <row r="36" spans="1:8" s="139" customFormat="1" ht="15" customHeight="1">
      <c r="A36" s="147">
        <v>1</v>
      </c>
      <c r="B36" s="131" t="s">
        <v>232</v>
      </c>
      <c r="C36" s="169" t="s">
        <v>43</v>
      </c>
      <c r="D36" s="149" t="s">
        <v>37</v>
      </c>
      <c r="E36" s="150">
        <f>0.5*0.5*0.4*(12+8)</f>
        <v>2</v>
      </c>
      <c r="F36" s="151">
        <f>'AN BETON'!F174</f>
        <v>3886815.7539721541</v>
      </c>
      <c r="G36" s="151">
        <f t="shared" ref="G36:G64" si="3">E36*F36</f>
        <v>7773631.5079443082</v>
      </c>
      <c r="H36" s="473">
        <f>SUM(E36:E54)+SUM(E58:E63)</f>
        <v>40.899250000000002</v>
      </c>
    </row>
    <row r="37" spans="1:8" s="139" customFormat="1" ht="15" customHeight="1">
      <c r="A37" s="147">
        <f>1+A36</f>
        <v>2</v>
      </c>
      <c r="B37" s="131" t="s">
        <v>233</v>
      </c>
      <c r="C37" s="169" t="s">
        <v>43</v>
      </c>
      <c r="D37" s="149" t="s">
        <v>37</v>
      </c>
      <c r="E37" s="150">
        <f>0.5*0.5*0.4*4</f>
        <v>0.4</v>
      </c>
      <c r="F37" s="151">
        <f>F36</f>
        <v>3886815.7539721541</v>
      </c>
      <c r="G37" s="151">
        <f t="shared" si="3"/>
        <v>1554726.3015888617</v>
      </c>
    </row>
    <row r="38" spans="1:8" s="139" customFormat="1" ht="15" customHeight="1">
      <c r="A38" s="147">
        <f t="shared" ref="A38:A55" si="4">1+A37</f>
        <v>3</v>
      </c>
      <c r="B38" s="131" t="s">
        <v>234</v>
      </c>
      <c r="C38" s="169" t="s">
        <v>43</v>
      </c>
      <c r="D38" s="149" t="s">
        <v>37</v>
      </c>
      <c r="E38" s="150">
        <f>0.85*0.5*0.4*2</f>
        <v>0.34</v>
      </c>
      <c r="F38" s="151">
        <f>'AN BETON'!F179</f>
        <v>3344938.9500409504</v>
      </c>
      <c r="G38" s="151">
        <f t="shared" si="3"/>
        <v>1137279.2430139233</v>
      </c>
    </row>
    <row r="39" spans="1:8" s="139" customFormat="1" ht="15" customHeight="1">
      <c r="A39" s="147">
        <f t="shared" si="4"/>
        <v>4</v>
      </c>
      <c r="B39" s="131" t="s">
        <v>235</v>
      </c>
      <c r="C39" s="169" t="s">
        <v>43</v>
      </c>
      <c r="D39" s="149" t="s">
        <v>37</v>
      </c>
      <c r="E39" s="150">
        <f>1*0.5*0.5*(5+11)</f>
        <v>4</v>
      </c>
      <c r="F39" s="151">
        <f>'AN BETON'!F185</f>
        <v>3019841.9682719088</v>
      </c>
      <c r="G39" s="151">
        <f t="shared" si="3"/>
        <v>12079367.873087635</v>
      </c>
    </row>
    <row r="40" spans="1:8" s="139" customFormat="1" ht="15" customHeight="1">
      <c r="A40" s="147">
        <f t="shared" si="4"/>
        <v>5</v>
      </c>
      <c r="B40" s="131" t="s">
        <v>238</v>
      </c>
      <c r="C40" s="169" t="s">
        <v>43</v>
      </c>
      <c r="D40" s="149" t="s">
        <v>37</v>
      </c>
      <c r="E40" s="174">
        <f>0.2*0.4*84.9</f>
        <v>6.7920000000000016</v>
      </c>
      <c r="F40" s="151">
        <f>'AN BETON'!F62</f>
        <v>2892629.6538953725</v>
      </c>
      <c r="G40" s="151">
        <f t="shared" si="3"/>
        <v>19646740.609257374</v>
      </c>
    </row>
    <row r="41" spans="1:8" s="139" customFormat="1" ht="15" customHeight="1">
      <c r="A41" s="147">
        <f t="shared" si="4"/>
        <v>6</v>
      </c>
      <c r="B41" s="131" t="s">
        <v>239</v>
      </c>
      <c r="C41" s="169" t="s">
        <v>43</v>
      </c>
      <c r="D41" s="149" t="s">
        <v>37</v>
      </c>
      <c r="E41" s="174">
        <f>0.2*0.4*14.5</f>
        <v>1.1600000000000001</v>
      </c>
      <c r="F41" s="151">
        <f>'AN BETON'!F74</f>
        <v>3070646.9278255533</v>
      </c>
      <c r="G41" s="151">
        <f t="shared" si="3"/>
        <v>3561950.4362776424</v>
      </c>
    </row>
    <row r="42" spans="1:8" s="139" customFormat="1" ht="15" customHeight="1">
      <c r="A42" s="147">
        <f t="shared" si="4"/>
        <v>7</v>
      </c>
      <c r="B42" s="131" t="s">
        <v>240</v>
      </c>
      <c r="C42" s="169" t="s">
        <v>43</v>
      </c>
      <c r="D42" s="149" t="s">
        <v>37</v>
      </c>
      <c r="E42" s="174">
        <f>0.2*0.4*11.25</f>
        <v>0.90000000000000013</v>
      </c>
      <c r="F42" s="151">
        <f>'AN BETON'!F80</f>
        <v>3212702.2318796068</v>
      </c>
      <c r="G42" s="151">
        <f t="shared" si="3"/>
        <v>2891432.0086916466</v>
      </c>
    </row>
    <row r="43" spans="1:8" s="139" customFormat="1" ht="15" customHeight="1">
      <c r="A43" s="147"/>
      <c r="B43" s="172" t="s">
        <v>248</v>
      </c>
      <c r="C43" s="169"/>
      <c r="D43" s="149"/>
      <c r="E43" s="174"/>
      <c r="F43" s="151"/>
      <c r="G43" s="151"/>
    </row>
    <row r="44" spans="1:8" s="139" customFormat="1" ht="15" customHeight="1">
      <c r="A44" s="147">
        <v>1</v>
      </c>
      <c r="B44" s="131" t="s">
        <v>252</v>
      </c>
      <c r="C44" s="169" t="s">
        <v>43</v>
      </c>
      <c r="D44" s="149" t="s">
        <v>37</v>
      </c>
      <c r="E44" s="174">
        <f>0.15*0.3*4.5</f>
        <v>0.20249999999999999</v>
      </c>
      <c r="F44" s="151">
        <f>'AN BETON'!F14</f>
        <v>3309606.5929565928</v>
      </c>
      <c r="G44" s="151">
        <f t="shared" ref="G44:G54" si="5">E44*F44</f>
        <v>670195.33507370995</v>
      </c>
    </row>
    <row r="45" spans="1:8" s="139" customFormat="1" ht="15" customHeight="1">
      <c r="A45" s="147">
        <f t="shared" si="4"/>
        <v>2</v>
      </c>
      <c r="B45" s="131" t="s">
        <v>253</v>
      </c>
      <c r="C45" s="169" t="s">
        <v>43</v>
      </c>
      <c r="D45" s="149" t="s">
        <v>37</v>
      </c>
      <c r="E45" s="174">
        <f>0.15*0.4*14.4</f>
        <v>0.86399999999999999</v>
      </c>
      <c r="F45" s="151">
        <f>'AN BETON'!F38</f>
        <v>3488740.2453589956</v>
      </c>
      <c r="G45" s="151">
        <f t="shared" si="5"/>
        <v>3014271.5719901724</v>
      </c>
    </row>
    <row r="46" spans="1:8" s="139" customFormat="1" ht="15" customHeight="1">
      <c r="A46" s="147">
        <f t="shared" si="4"/>
        <v>3</v>
      </c>
      <c r="B46" s="131" t="s">
        <v>250</v>
      </c>
      <c r="C46" s="169" t="s">
        <v>43</v>
      </c>
      <c r="D46" s="149" t="s">
        <v>37</v>
      </c>
      <c r="E46" s="174">
        <f>0.15*0.4*9.6</f>
        <v>0.57599999999999996</v>
      </c>
      <c r="F46" s="151">
        <f>'AN BETON'!F44</f>
        <v>3678147.317431068</v>
      </c>
      <c r="G46" s="151">
        <f t="shared" si="5"/>
        <v>2118612.8548402949</v>
      </c>
    </row>
    <row r="47" spans="1:8" s="139" customFormat="1" ht="15" customHeight="1">
      <c r="A47" s="147">
        <f t="shared" si="4"/>
        <v>4</v>
      </c>
      <c r="B47" s="131" t="s">
        <v>238</v>
      </c>
      <c r="C47" s="169" t="s">
        <v>43</v>
      </c>
      <c r="D47" s="149" t="s">
        <v>37</v>
      </c>
      <c r="E47" s="174">
        <f>0.2*0.4*40.2</f>
        <v>3.2160000000000006</v>
      </c>
      <c r="F47" s="151">
        <f>'AN BETON'!F62</f>
        <v>2892629.6538953725</v>
      </c>
      <c r="G47" s="151">
        <f t="shared" si="5"/>
        <v>9302696.9669275191</v>
      </c>
    </row>
    <row r="48" spans="1:8" s="139" customFormat="1" ht="15" customHeight="1">
      <c r="A48" s="147">
        <f t="shared" si="4"/>
        <v>5</v>
      </c>
      <c r="B48" s="131" t="s">
        <v>239</v>
      </c>
      <c r="C48" s="169" t="s">
        <v>43</v>
      </c>
      <c r="D48" s="149" t="s">
        <v>37</v>
      </c>
      <c r="E48" s="174">
        <f>0.2*0.4*64.65</f>
        <v>5.1720000000000015</v>
      </c>
      <c r="F48" s="151">
        <f>'AN BETON'!F74</f>
        <v>3070646.9278255533</v>
      </c>
      <c r="G48" s="151">
        <f t="shared" si="5"/>
        <v>15881385.910713766</v>
      </c>
    </row>
    <row r="49" spans="1:8" s="139" customFormat="1" ht="15" customHeight="1">
      <c r="A49" s="147">
        <f t="shared" si="4"/>
        <v>6</v>
      </c>
      <c r="B49" s="131" t="s">
        <v>254</v>
      </c>
      <c r="C49" s="169" t="s">
        <v>43</v>
      </c>
      <c r="D49" s="149" t="s">
        <v>37</v>
      </c>
      <c r="E49" s="174">
        <f>0.2*0.4*45.45</f>
        <v>3.636000000000001</v>
      </c>
      <c r="F49" s="151">
        <f>'AN BETON'!F86</f>
        <v>3082036.7259674445</v>
      </c>
      <c r="G49" s="151">
        <f t="shared" si="5"/>
        <v>11206285.535617631</v>
      </c>
    </row>
    <row r="50" spans="1:8" s="139" customFormat="1" ht="15" customHeight="1">
      <c r="A50" s="147">
        <f t="shared" si="4"/>
        <v>7</v>
      </c>
      <c r="B50" s="131" t="s">
        <v>241</v>
      </c>
      <c r="C50" s="169" t="s">
        <v>43</v>
      </c>
      <c r="D50" s="149" t="s">
        <v>37</v>
      </c>
      <c r="E50" s="174">
        <f>0.2*0.4*8.1</f>
        <v>0.64800000000000013</v>
      </c>
      <c r="F50" s="151">
        <f>'AN BETON'!F116</f>
        <v>3555941.6010698196</v>
      </c>
      <c r="G50" s="151">
        <f t="shared" si="5"/>
        <v>2304250.1574932435</v>
      </c>
    </row>
    <row r="51" spans="1:8" s="139" customFormat="1" ht="15" customHeight="1">
      <c r="A51" s="147">
        <f t="shared" si="4"/>
        <v>8</v>
      </c>
      <c r="B51" s="131" t="s">
        <v>249</v>
      </c>
      <c r="C51" s="169" t="s">
        <v>43</v>
      </c>
      <c r="D51" s="149" t="s">
        <v>37</v>
      </c>
      <c r="E51" s="174">
        <f>0.2*0.5*28.5</f>
        <v>2.85</v>
      </c>
      <c r="F51" s="151">
        <f>'AN BETON'!F155</f>
        <v>3384602.6571048321</v>
      </c>
      <c r="G51" s="151">
        <f t="shared" si="5"/>
        <v>9646117.5727487709</v>
      </c>
    </row>
    <row r="52" spans="1:8" s="139" customFormat="1" ht="15" customHeight="1">
      <c r="A52" s="147">
        <f t="shared" si="4"/>
        <v>9</v>
      </c>
      <c r="B52" s="131" t="s">
        <v>255</v>
      </c>
      <c r="C52" s="169" t="s">
        <v>43</v>
      </c>
      <c r="D52" s="149" t="s">
        <v>37</v>
      </c>
      <c r="E52" s="174">
        <f>0.2*0.5*9</f>
        <v>0.9</v>
      </c>
      <c r="F52" s="151">
        <f>'AN BETON'!F141</f>
        <v>3498246.9003480757</v>
      </c>
      <c r="G52" s="151">
        <f t="shared" si="5"/>
        <v>3148422.210313268</v>
      </c>
    </row>
    <row r="53" spans="1:8" s="139" customFormat="1" ht="15" customHeight="1">
      <c r="A53" s="147">
        <f t="shared" si="4"/>
        <v>10</v>
      </c>
      <c r="B53" s="131" t="s">
        <v>251</v>
      </c>
      <c r="C53" s="169" t="s">
        <v>43</v>
      </c>
      <c r="D53" s="149" t="s">
        <v>37</v>
      </c>
      <c r="E53" s="174">
        <f>0.2*0.5*14.4</f>
        <v>1.4400000000000002</v>
      </c>
      <c r="F53" s="151">
        <f>'AN BETON'!F148</f>
        <v>3600248.1239967244</v>
      </c>
      <c r="G53" s="151">
        <f t="shared" si="5"/>
        <v>5184357.2985552838</v>
      </c>
    </row>
    <row r="54" spans="1:8" s="139" customFormat="1" ht="15" customHeight="1">
      <c r="A54" s="147">
        <f t="shared" si="4"/>
        <v>11</v>
      </c>
      <c r="B54" s="131" t="s">
        <v>256</v>
      </c>
      <c r="C54" s="169" t="s">
        <v>43</v>
      </c>
      <c r="D54" s="149" t="s">
        <v>37</v>
      </c>
      <c r="E54" s="174">
        <f>0.2*0.5*12</f>
        <v>1.2000000000000002</v>
      </c>
      <c r="F54" s="151">
        <f>'AN BETON'!F169</f>
        <v>3827536.6104832105</v>
      </c>
      <c r="G54" s="151">
        <f t="shared" si="5"/>
        <v>4593043.9325798536</v>
      </c>
    </row>
    <row r="55" spans="1:8" s="139" customFormat="1" ht="11.4">
      <c r="A55" s="147">
        <f t="shared" si="4"/>
        <v>12</v>
      </c>
      <c r="B55" s="132" t="s">
        <v>46</v>
      </c>
      <c r="C55" s="148"/>
      <c r="D55" s="149" t="s">
        <v>37</v>
      </c>
      <c r="E55" s="150">
        <f>416*0.2*0.03+0.5*0.5*24*0.03+0.85*0.5*2*0.03+1*0.5*16*0.03</f>
        <v>2.9415000000000004</v>
      </c>
      <c r="F55" s="151">
        <f>Analisa!F49</f>
        <v>859459.4</v>
      </c>
      <c r="G55" s="151">
        <f t="shared" si="3"/>
        <v>2528099.8251000005</v>
      </c>
    </row>
    <row r="56" spans="1:8" s="139" customFormat="1" ht="15" customHeight="1">
      <c r="A56" s="147"/>
      <c r="B56" s="131"/>
      <c r="C56" s="148"/>
      <c r="D56" s="149"/>
      <c r="E56" s="150"/>
      <c r="F56" s="151"/>
      <c r="G56" s="151">
        <f t="shared" si="3"/>
        <v>0</v>
      </c>
    </row>
    <row r="57" spans="1:8" s="139" customFormat="1" ht="15" customHeight="1">
      <c r="A57" s="154"/>
      <c r="B57" s="155" t="s">
        <v>29</v>
      </c>
      <c r="C57" s="148"/>
      <c r="D57" s="149"/>
      <c r="E57" s="153"/>
      <c r="F57" s="151"/>
      <c r="G57" s="151">
        <f t="shared" si="3"/>
        <v>0</v>
      </c>
    </row>
    <row r="58" spans="1:8" s="139" customFormat="1" ht="15" customHeight="1">
      <c r="A58" s="154">
        <v>1</v>
      </c>
      <c r="B58" s="155" t="s">
        <v>516</v>
      </c>
      <c r="C58" s="148"/>
      <c r="D58" s="149" t="s">
        <v>37</v>
      </c>
      <c r="E58" s="153">
        <f>0.2*0.4*6</f>
        <v>0.48000000000000009</v>
      </c>
      <c r="F58" s="151">
        <f>'AN BETON'!F68</f>
        <v>3034684.957949427</v>
      </c>
      <c r="G58" s="151">
        <f t="shared" si="3"/>
        <v>1456648.7798157253</v>
      </c>
    </row>
    <row r="59" spans="1:8" s="139" customFormat="1" ht="15" customHeight="1">
      <c r="A59" s="154">
        <v>2</v>
      </c>
      <c r="B59" s="155" t="s">
        <v>515</v>
      </c>
      <c r="C59" s="148"/>
      <c r="D59" s="149" t="s">
        <v>37</v>
      </c>
      <c r="E59" s="153">
        <f>0.2*0.4*11.55</f>
        <v>0.92400000000000027</v>
      </c>
      <c r="F59" s="151">
        <f>'AN BETON'!F86</f>
        <v>3082036.7259674445</v>
      </c>
      <c r="G59" s="151">
        <f t="shared" si="3"/>
        <v>2847801.9347939193</v>
      </c>
    </row>
    <row r="60" spans="1:8" s="139" customFormat="1" ht="15" customHeight="1">
      <c r="A60" s="154">
        <v>3</v>
      </c>
      <c r="B60" s="155" t="s">
        <v>520</v>
      </c>
      <c r="C60" s="148"/>
      <c r="D60" s="149" t="s">
        <v>37</v>
      </c>
      <c r="E60" s="153">
        <f>0.15*0.3*1.95</f>
        <v>8.7749999999999995E-2</v>
      </c>
      <c r="F60" s="151">
        <f>'AN BETON'!F20</f>
        <v>3857430.1244881242</v>
      </c>
      <c r="G60" s="151">
        <f t="shared" si="3"/>
        <v>338489.49342383287</v>
      </c>
    </row>
    <row r="61" spans="1:8" s="139" customFormat="1" ht="15" customHeight="1">
      <c r="A61" s="154">
        <v>4</v>
      </c>
      <c r="B61" s="155" t="s">
        <v>517</v>
      </c>
      <c r="C61" s="148"/>
      <c r="D61" s="149" t="s">
        <v>37</v>
      </c>
      <c r="E61" s="153">
        <f>0.2*0.4*12.15</f>
        <v>0.9720000000000002</v>
      </c>
      <c r="F61" s="151">
        <f>'AN BETON'!F104</f>
        <v>3176740.2620034805</v>
      </c>
      <c r="G61" s="151">
        <f t="shared" ref="G61" si="6">E61*F61</f>
        <v>3087791.5346673834</v>
      </c>
    </row>
    <row r="62" spans="1:8" s="139" customFormat="1" ht="15" customHeight="1">
      <c r="A62" s="154">
        <v>5</v>
      </c>
      <c r="B62" s="155" t="s">
        <v>518</v>
      </c>
      <c r="C62" s="148"/>
      <c r="D62" s="149" t="s">
        <v>37</v>
      </c>
      <c r="E62" s="153">
        <f>0.2*0.4*12.3</f>
        <v>0.98400000000000021</v>
      </c>
      <c r="F62" s="151">
        <f>'AN BETON'!F110</f>
        <v>3366147.3340755533</v>
      </c>
      <c r="G62" s="151">
        <f t="shared" ref="G62" si="7">E62*F62</f>
        <v>3312288.9767303453</v>
      </c>
    </row>
    <row r="63" spans="1:8" s="139" customFormat="1" ht="15" customHeight="1">
      <c r="A63" s="154">
        <v>6</v>
      </c>
      <c r="B63" s="155" t="s">
        <v>519</v>
      </c>
      <c r="C63" s="148"/>
      <c r="D63" s="149" t="s">
        <v>37</v>
      </c>
      <c r="E63" s="153">
        <f>0.2*0.5*11.55</f>
        <v>1.155</v>
      </c>
      <c r="F63" s="151">
        <f>'AN BETON'!F162</f>
        <v>3221433.9798525805</v>
      </c>
      <c r="G63" s="151">
        <f t="shared" ref="G63" si="8">E63*F63</f>
        <v>3720756.2467297306</v>
      </c>
      <c r="H63" s="473">
        <f>SUM(E36:E63)-E55</f>
        <v>40.899250000000002</v>
      </c>
    </row>
    <row r="64" spans="1:8" s="139" customFormat="1" ht="15" customHeight="1">
      <c r="A64" s="154">
        <v>7</v>
      </c>
      <c r="B64" s="490" t="s">
        <v>619</v>
      </c>
      <c r="C64" s="148"/>
      <c r="D64" s="149" t="s">
        <v>37</v>
      </c>
      <c r="E64" s="165">
        <f>21.19</f>
        <v>21.19</v>
      </c>
      <c r="F64" s="151">
        <f>F55</f>
        <v>859459.4</v>
      </c>
      <c r="G64" s="151">
        <f t="shared" si="3"/>
        <v>18211944.686000001</v>
      </c>
    </row>
    <row r="65" spans="1:10" s="168" customFormat="1" ht="15" customHeight="1">
      <c r="A65" s="161"/>
      <c r="B65" s="162"/>
      <c r="C65" s="163"/>
      <c r="D65" s="164"/>
      <c r="E65" s="165"/>
      <c r="F65" s="166"/>
      <c r="G65" s="167">
        <f>SUM(G35:G64)</f>
        <v>151218588.80397585</v>
      </c>
    </row>
    <row r="66" spans="1:10" s="146" customFormat="1" ht="15" customHeight="1">
      <c r="A66" s="140" t="s">
        <v>47</v>
      </c>
      <c r="B66" s="141" t="s">
        <v>48</v>
      </c>
      <c r="C66" s="142"/>
      <c r="D66" s="143"/>
      <c r="E66" s="144"/>
      <c r="F66" s="145"/>
      <c r="G66" s="145"/>
    </row>
    <row r="67" spans="1:10" s="139" customFormat="1" ht="15" customHeight="1">
      <c r="A67" s="171"/>
      <c r="B67" s="172" t="s">
        <v>260</v>
      </c>
      <c r="C67" s="173"/>
      <c r="D67" s="149"/>
      <c r="E67" s="153"/>
      <c r="F67" s="151"/>
      <c r="G67" s="151"/>
    </row>
    <row r="68" spans="1:10" s="139" customFormat="1" ht="15" customHeight="1">
      <c r="A68" s="147">
        <v>1</v>
      </c>
      <c r="B68" s="131" t="s">
        <v>261</v>
      </c>
      <c r="C68" s="169" t="s">
        <v>43</v>
      </c>
      <c r="D68" s="149" t="s">
        <v>37</v>
      </c>
      <c r="E68" s="153">
        <v>0</v>
      </c>
      <c r="F68" s="151">
        <v>0</v>
      </c>
      <c r="G68" s="151">
        <f t="shared" ref="G68:G89" si="9">E68*F68</f>
        <v>0</v>
      </c>
    </row>
    <row r="69" spans="1:10" s="139" customFormat="1" ht="15" customHeight="1">
      <c r="A69" s="147">
        <f>1+A68</f>
        <v>2</v>
      </c>
      <c r="B69" s="131" t="s">
        <v>262</v>
      </c>
      <c r="C69" s="169" t="s">
        <v>43</v>
      </c>
      <c r="D69" s="149" t="s">
        <v>37</v>
      </c>
      <c r="E69" s="153">
        <f>0.13*0.4*4.5*4</f>
        <v>0.93600000000000005</v>
      </c>
      <c r="F69" s="151">
        <f>'AN BETON'!F208</f>
        <v>5953363.3487604745</v>
      </c>
      <c r="G69" s="151">
        <f t="shared" si="9"/>
        <v>5572348.0944398046</v>
      </c>
    </row>
    <row r="70" spans="1:10" s="139" customFormat="1" ht="15" customHeight="1">
      <c r="A70" s="171"/>
      <c r="B70" s="172" t="s">
        <v>263</v>
      </c>
      <c r="C70" s="173"/>
      <c r="D70" s="149"/>
      <c r="E70" s="153"/>
      <c r="F70" s="151"/>
      <c r="G70" s="151"/>
    </row>
    <row r="71" spans="1:10" s="139" customFormat="1" ht="15" customHeight="1">
      <c r="A71" s="147">
        <f>1+A68</f>
        <v>2</v>
      </c>
      <c r="B71" s="131" t="s">
        <v>264</v>
      </c>
      <c r="C71" s="169" t="s">
        <v>43</v>
      </c>
      <c r="D71" s="149" t="s">
        <v>37</v>
      </c>
      <c r="E71" s="153">
        <f>0.13*0.13*4*30</f>
        <v>2.028</v>
      </c>
      <c r="F71" s="151">
        <f>'AN BETON'!F202</f>
        <v>6225580.2194994893</v>
      </c>
      <c r="G71" s="151">
        <f t="shared" ref="G71" si="10">E71*F71</f>
        <v>12625476.685144965</v>
      </c>
      <c r="H71" s="160"/>
    </row>
    <row r="72" spans="1:10" s="139" customFormat="1" ht="15" customHeight="1">
      <c r="A72" s="147">
        <f>1+A69</f>
        <v>3</v>
      </c>
      <c r="B72" s="131" t="s">
        <v>262</v>
      </c>
      <c r="C72" s="169" t="s">
        <v>43</v>
      </c>
      <c r="D72" s="149" t="s">
        <v>37</v>
      </c>
      <c r="E72" s="153">
        <f>0.13*0.4*4*10</f>
        <v>2.08</v>
      </c>
      <c r="F72" s="151">
        <f>F69</f>
        <v>5953363.3487604745</v>
      </c>
      <c r="G72" s="151">
        <f t="shared" si="9"/>
        <v>12382995.765421787</v>
      </c>
    </row>
    <row r="73" spans="1:10" s="139" customFormat="1" ht="15" customHeight="1">
      <c r="A73" s="147">
        <f t="shared" ref="A73:A80" si="11">1+A72</f>
        <v>4</v>
      </c>
      <c r="B73" s="131" t="s">
        <v>261</v>
      </c>
      <c r="C73" s="169" t="s">
        <v>43</v>
      </c>
      <c r="D73" s="149" t="s">
        <v>37</v>
      </c>
      <c r="E73" s="153">
        <v>0</v>
      </c>
      <c r="F73" s="151">
        <v>0</v>
      </c>
      <c r="G73" s="151">
        <f t="shared" si="9"/>
        <v>0</v>
      </c>
    </row>
    <row r="74" spans="1:10" s="139" customFormat="1" ht="15" customHeight="1">
      <c r="A74" s="147">
        <f t="shared" si="11"/>
        <v>5</v>
      </c>
      <c r="B74" s="131" t="s">
        <v>265</v>
      </c>
      <c r="C74" s="169" t="s">
        <v>49</v>
      </c>
      <c r="D74" s="149" t="s">
        <v>37</v>
      </c>
      <c r="E74" s="153">
        <f>3.14*0.175*0.175*4*6</f>
        <v>2.3079000000000001</v>
      </c>
      <c r="F74" s="151">
        <f>'AN BETON'!F232</f>
        <v>5517415.4964714721</v>
      </c>
      <c r="G74" s="151">
        <f t="shared" si="9"/>
        <v>12733643.224306511</v>
      </c>
    </row>
    <row r="75" spans="1:10" s="139" customFormat="1" ht="15" customHeight="1">
      <c r="A75" s="147">
        <f t="shared" si="11"/>
        <v>6</v>
      </c>
      <c r="B75" s="131" t="s">
        <v>266</v>
      </c>
      <c r="C75" s="169" t="s">
        <v>49</v>
      </c>
      <c r="D75" s="149" t="s">
        <v>37</v>
      </c>
      <c r="E75" s="153">
        <f>0.15*0.5*4*3</f>
        <v>0.89999999999999991</v>
      </c>
      <c r="F75" s="151">
        <f>'AN BETON'!F220</f>
        <v>5362100.9294021297</v>
      </c>
      <c r="G75" s="151">
        <f t="shared" si="9"/>
        <v>4825890.8364619166</v>
      </c>
    </row>
    <row r="76" spans="1:10" s="139" customFormat="1" ht="15" customHeight="1">
      <c r="A76" s="171"/>
      <c r="B76" s="172" t="s">
        <v>281</v>
      </c>
      <c r="C76" s="169"/>
      <c r="D76" s="149"/>
      <c r="E76" s="153"/>
      <c r="F76" s="151"/>
      <c r="G76" s="151">
        <f t="shared" ref="G76" si="12">E76*F76</f>
        <v>0</v>
      </c>
    </row>
    <row r="77" spans="1:10" s="139" customFormat="1" ht="15" customHeight="1">
      <c r="A77" s="147">
        <f>1+A102</f>
        <v>11</v>
      </c>
      <c r="B77" s="131" t="s">
        <v>50</v>
      </c>
      <c r="C77" s="169" t="s">
        <v>43</v>
      </c>
      <c r="D77" s="149" t="s">
        <v>37</v>
      </c>
      <c r="E77" s="165">
        <f>1.5*0.6*2*0.1*0</f>
        <v>0</v>
      </c>
      <c r="F77" s="151">
        <f>'AN BETON'!F383</f>
        <v>3770455.6834561834</v>
      </c>
      <c r="G77" s="151">
        <f t="shared" si="9"/>
        <v>0</v>
      </c>
    </row>
    <row r="78" spans="1:10" s="139" customFormat="1" ht="15" customHeight="1">
      <c r="A78" s="147">
        <f t="shared" si="11"/>
        <v>12</v>
      </c>
      <c r="B78" s="131" t="s">
        <v>278</v>
      </c>
      <c r="C78" s="169" t="s">
        <v>43</v>
      </c>
      <c r="D78" s="149" t="s">
        <v>37</v>
      </c>
      <c r="E78" s="153">
        <f>6.5*27.5*0.1-8.4*1.5*0.1-2.7*2*0.1</f>
        <v>16.074999999999999</v>
      </c>
      <c r="F78" s="151">
        <f>'AN BETON'!F363</f>
        <v>3623632.9942669943</v>
      </c>
      <c r="G78" s="151">
        <f t="shared" si="9"/>
        <v>58249900.38284193</v>
      </c>
      <c r="I78" s="454">
        <f>E78*'AN BETON'!D361</f>
        <v>1752.4965000000002</v>
      </c>
      <c r="J78" s="454">
        <f>I78/(0.006165*8*8*12)</f>
        <v>370.13730484590434</v>
      </c>
    </row>
    <row r="79" spans="1:10" s="139" customFormat="1" ht="15" customHeight="1">
      <c r="A79" s="147">
        <f t="shared" si="11"/>
        <v>13</v>
      </c>
      <c r="B79" s="131" t="s">
        <v>279</v>
      </c>
      <c r="C79" s="169" t="s">
        <v>43</v>
      </c>
      <c r="D79" s="149" t="s">
        <v>37</v>
      </c>
      <c r="E79" s="153">
        <f>2.7*17.7*0.12+3*4.6*0.12+6.75*1.65*0.12+20.55*6*0.12+4.6*3.3*0.12+18.45*10.2*0.12-1.4*3*0.12</f>
        <v>47.423699999999997</v>
      </c>
      <c r="F79" s="151">
        <f>'AN BETON'!F368</f>
        <v>2954649.2123942124</v>
      </c>
      <c r="G79" s="151">
        <f t="shared" si="9"/>
        <v>140120397.8538194</v>
      </c>
      <c r="I79" s="454">
        <f>E79*'AN BETON'!D366</f>
        <v>4308.4431449999993</v>
      </c>
      <c r="J79" s="454">
        <f>I79/(0.006165*8*8*12)</f>
        <v>909.96788511253021</v>
      </c>
    </row>
    <row r="80" spans="1:10" s="139" customFormat="1" ht="15" customHeight="1">
      <c r="A80" s="147">
        <f t="shared" si="11"/>
        <v>14</v>
      </c>
      <c r="B80" s="131" t="s">
        <v>280</v>
      </c>
      <c r="C80" s="169" t="s">
        <v>43</v>
      </c>
      <c r="D80" s="149" t="s">
        <v>37</v>
      </c>
      <c r="E80" s="153">
        <v>0</v>
      </c>
      <c r="F80" s="151">
        <v>0</v>
      </c>
      <c r="G80" s="151">
        <f t="shared" si="9"/>
        <v>0</v>
      </c>
      <c r="J80" s="454">
        <f>SUM(J78:J79)</f>
        <v>1280.1051899584345</v>
      </c>
    </row>
    <row r="81" spans="1:8" s="139" customFormat="1" ht="15" customHeight="1">
      <c r="A81" s="147"/>
      <c r="B81" s="131"/>
      <c r="C81" s="169"/>
      <c r="D81" s="149"/>
      <c r="E81" s="153"/>
      <c r="F81" s="151"/>
      <c r="G81" s="151">
        <f t="shared" si="9"/>
        <v>0</v>
      </c>
    </row>
    <row r="82" spans="1:8" s="139" customFormat="1" ht="15" customHeight="1">
      <c r="A82" s="154"/>
      <c r="B82" s="155" t="s">
        <v>29</v>
      </c>
      <c r="C82" s="148"/>
      <c r="D82" s="149"/>
      <c r="E82" s="153"/>
      <c r="F82" s="151"/>
      <c r="G82" s="151">
        <f t="shared" si="9"/>
        <v>0</v>
      </c>
    </row>
    <row r="83" spans="1:8" s="139" customFormat="1" ht="15" customHeight="1">
      <c r="A83" s="154">
        <v>1</v>
      </c>
      <c r="B83" s="155" t="s">
        <v>524</v>
      </c>
      <c r="C83" s="148"/>
      <c r="D83" s="149" t="s">
        <v>37</v>
      </c>
      <c r="E83" s="165">
        <f>3.14*0.175*0.175*4.75*1*2</f>
        <v>0.91354374999999999</v>
      </c>
      <c r="F83" s="151">
        <f>F74</f>
        <v>5517415.4964714721</v>
      </c>
      <c r="G83" s="151">
        <f t="shared" si="9"/>
        <v>5040400.4429546604</v>
      </c>
      <c r="H83" s="454">
        <f>E83+E74</f>
        <v>3.2214437500000002</v>
      </c>
    </row>
    <row r="84" spans="1:8" s="139" customFormat="1" ht="15" customHeight="1">
      <c r="A84" s="154">
        <v>2</v>
      </c>
      <c r="B84" s="155" t="s">
        <v>525</v>
      </c>
      <c r="C84" s="148"/>
      <c r="D84" s="149" t="s">
        <v>37</v>
      </c>
      <c r="E84" s="153">
        <f>0.13*0.8*4.5*2</f>
        <v>0.93600000000000005</v>
      </c>
      <c r="F84" s="151">
        <f>'AN BETON'!F214</f>
        <v>5315851.8877023868</v>
      </c>
      <c r="G84" s="151">
        <f t="shared" si="9"/>
        <v>4975637.3668894339</v>
      </c>
    </row>
    <row r="85" spans="1:8" s="139" customFormat="1" ht="15" customHeight="1">
      <c r="A85" s="154">
        <v>3</v>
      </c>
      <c r="B85" s="155" t="s">
        <v>526</v>
      </c>
      <c r="C85" s="148"/>
      <c r="D85" s="149" t="s">
        <v>37</v>
      </c>
      <c r="E85" s="153">
        <f>0.13*0.8*4*2</f>
        <v>0.83200000000000007</v>
      </c>
      <c r="F85" s="151">
        <f>F84</f>
        <v>5315851.8877023868</v>
      </c>
      <c r="G85" s="151">
        <f t="shared" si="9"/>
        <v>4422788.7705683867</v>
      </c>
    </row>
    <row r="86" spans="1:8" s="139" customFormat="1" ht="15" customHeight="1">
      <c r="A86" s="154">
        <v>4</v>
      </c>
      <c r="B86" s="155" t="s">
        <v>535</v>
      </c>
      <c r="C86" s="148"/>
      <c r="D86" s="149" t="s">
        <v>37</v>
      </c>
      <c r="E86" s="153">
        <f>2.5*0.12*12.3+(0.15*0.4/2)*5*12.3</f>
        <v>5.5350000000000001</v>
      </c>
      <c r="F86" s="151">
        <f>'AN BETON'!F378</f>
        <v>3445401.022472973</v>
      </c>
      <c r="G86" s="151">
        <f t="shared" si="9"/>
        <v>19070294.659387905</v>
      </c>
    </row>
    <row r="87" spans="1:8" s="139" customFormat="1" ht="15" customHeight="1">
      <c r="A87" s="154">
        <v>5</v>
      </c>
      <c r="B87" s="155" t="s">
        <v>540</v>
      </c>
      <c r="C87" s="148"/>
      <c r="D87" s="149" t="s">
        <v>37</v>
      </c>
      <c r="E87" s="153">
        <f>74.7*0.9*0.12</f>
        <v>8.0676000000000005</v>
      </c>
      <c r="F87" s="151">
        <f>'AN BETON'!F399</f>
        <v>4212548.7629675129</v>
      </c>
      <c r="G87" s="151">
        <f t="shared" si="9"/>
        <v>33985158.400116712</v>
      </c>
      <c r="H87" s="160"/>
    </row>
    <row r="88" spans="1:8" s="139" customFormat="1" ht="15" customHeight="1">
      <c r="A88" s="154">
        <v>6</v>
      </c>
      <c r="B88" s="155" t="s">
        <v>548</v>
      </c>
      <c r="C88" s="148"/>
      <c r="D88" s="149" t="s">
        <v>37</v>
      </c>
      <c r="E88" s="153">
        <f>8.5*0.8*0.12</f>
        <v>0.81600000000000006</v>
      </c>
      <c r="F88" s="151">
        <f>F87</f>
        <v>4212548.7629675129</v>
      </c>
      <c r="G88" s="151">
        <f t="shared" si="9"/>
        <v>3437439.7905814908</v>
      </c>
      <c r="H88" s="160"/>
    </row>
    <row r="89" spans="1:8" s="139" customFormat="1" ht="15" customHeight="1">
      <c r="A89" s="147"/>
      <c r="B89" s="131"/>
      <c r="C89" s="169"/>
      <c r="D89" s="149"/>
      <c r="E89" s="153"/>
      <c r="F89" s="151"/>
      <c r="G89" s="151">
        <f t="shared" si="9"/>
        <v>0</v>
      </c>
    </row>
    <row r="90" spans="1:8" s="168" customFormat="1" ht="15" customHeight="1">
      <c r="A90" s="161"/>
      <c r="B90" s="162"/>
      <c r="C90" s="163"/>
      <c r="D90" s="164"/>
      <c r="E90" s="165"/>
      <c r="F90" s="166"/>
      <c r="G90" s="167">
        <f>SUM(G67:G89)</f>
        <v>317442372.27293491</v>
      </c>
    </row>
    <row r="91" spans="1:8" s="146" customFormat="1" ht="15" customHeight="1">
      <c r="A91" s="140" t="s">
        <v>51</v>
      </c>
      <c r="B91" s="141" t="s">
        <v>282</v>
      </c>
      <c r="C91" s="142"/>
      <c r="D91" s="143"/>
      <c r="E91" s="144"/>
      <c r="F91" s="145"/>
      <c r="G91" s="145"/>
    </row>
    <row r="92" spans="1:8" s="139" customFormat="1" ht="15" customHeight="1">
      <c r="A92" s="171"/>
      <c r="B92" s="172" t="s">
        <v>267</v>
      </c>
      <c r="C92" s="173"/>
      <c r="D92" s="149"/>
      <c r="E92" s="153"/>
      <c r="F92" s="151"/>
      <c r="G92" s="151"/>
    </row>
    <row r="93" spans="1:8" s="139" customFormat="1" ht="15" customHeight="1">
      <c r="A93" s="147">
        <f t="shared" ref="A93:A102" si="13">1+A92</f>
        <v>1</v>
      </c>
      <c r="B93" s="131" t="s">
        <v>268</v>
      </c>
      <c r="C93" s="169" t="s">
        <v>43</v>
      </c>
      <c r="D93" s="149" t="s">
        <v>37</v>
      </c>
      <c r="E93" s="150">
        <f>0.13*0.4*27.15</f>
        <v>1.4117999999999999</v>
      </c>
      <c r="F93" s="151">
        <f>'AN BETON'!F292</f>
        <v>3808758.2408216782</v>
      </c>
      <c r="G93" s="151">
        <f>E93*F93</f>
        <v>5377204.8843920454</v>
      </c>
    </row>
    <row r="94" spans="1:8" s="139" customFormat="1" ht="15" customHeight="1">
      <c r="A94" s="147">
        <f t="shared" si="13"/>
        <v>2</v>
      </c>
      <c r="B94" s="131" t="s">
        <v>269</v>
      </c>
      <c r="C94" s="169" t="s">
        <v>43</v>
      </c>
      <c r="D94" s="149" t="s">
        <v>37</v>
      </c>
      <c r="E94" s="150">
        <f>0.13*0.4*30</f>
        <v>1.56</v>
      </c>
      <c r="F94" s="151">
        <f>'AN BETON'!F298</f>
        <v>4282836.2969547343</v>
      </c>
      <c r="G94" s="151">
        <f>E94*F94</f>
        <v>6681224.6232493855</v>
      </c>
    </row>
    <row r="95" spans="1:8" s="139" customFormat="1" ht="15" customHeight="1">
      <c r="A95" s="147">
        <f t="shared" si="13"/>
        <v>3</v>
      </c>
      <c r="B95" s="131" t="s">
        <v>276</v>
      </c>
      <c r="C95" s="169" t="s">
        <v>43</v>
      </c>
      <c r="D95" s="149" t="s">
        <v>37</v>
      </c>
      <c r="E95" s="150">
        <f>0.13*0.4*8.7</f>
        <v>0.45240000000000002</v>
      </c>
      <c r="F95" s="151">
        <f>'AN BETON'!F310</f>
        <v>4719929.5401979778</v>
      </c>
      <c r="G95" s="151">
        <f t="shared" ref="G95" si="14">E95*F95</f>
        <v>2135296.1239855653</v>
      </c>
    </row>
    <row r="96" spans="1:8" s="139" customFormat="1" ht="15" customHeight="1">
      <c r="A96" s="147">
        <f t="shared" si="13"/>
        <v>4</v>
      </c>
      <c r="B96" s="131" t="s">
        <v>270</v>
      </c>
      <c r="C96" s="169" t="s">
        <v>43</v>
      </c>
      <c r="D96" s="149" t="s">
        <v>37</v>
      </c>
      <c r="E96" s="153">
        <f>0.13*0.3*9</f>
        <v>0.35099999999999998</v>
      </c>
      <c r="F96" s="151">
        <f>'AN BETON'!F262</f>
        <v>4030673.5744398246</v>
      </c>
      <c r="G96" s="151">
        <f t="shared" ref="G96:G102" si="15">E96*F96</f>
        <v>1414766.4246283784</v>
      </c>
    </row>
    <row r="97" spans="1:7" s="139" customFormat="1" ht="15" customHeight="1">
      <c r="A97" s="147">
        <f t="shared" si="13"/>
        <v>5</v>
      </c>
      <c r="B97" s="131" t="s">
        <v>271</v>
      </c>
      <c r="C97" s="169" t="s">
        <v>43</v>
      </c>
      <c r="D97" s="149" t="s">
        <v>37</v>
      </c>
      <c r="E97" s="153">
        <f>0.13*0.3*8.4</f>
        <v>0.3276</v>
      </c>
      <c r="F97" s="151">
        <f>'AN BETON'!F280</f>
        <v>4954173.1447793953</v>
      </c>
      <c r="G97" s="151">
        <f t="shared" si="15"/>
        <v>1622987.12222973</v>
      </c>
    </row>
    <row r="98" spans="1:7" s="139" customFormat="1" ht="15" customHeight="1">
      <c r="A98" s="147">
        <f t="shared" si="13"/>
        <v>6</v>
      </c>
      <c r="B98" s="131" t="s">
        <v>273</v>
      </c>
      <c r="C98" s="169" t="s">
        <v>43</v>
      </c>
      <c r="D98" s="149" t="s">
        <v>37</v>
      </c>
      <c r="E98" s="153">
        <v>0</v>
      </c>
      <c r="F98" s="151">
        <v>0</v>
      </c>
      <c r="G98" s="151">
        <f t="shared" si="15"/>
        <v>0</v>
      </c>
    </row>
    <row r="99" spans="1:7" s="139" customFormat="1" ht="15" customHeight="1">
      <c r="A99" s="147">
        <f t="shared" si="13"/>
        <v>7</v>
      </c>
      <c r="B99" s="131" t="s">
        <v>272</v>
      </c>
      <c r="C99" s="169" t="s">
        <v>43</v>
      </c>
      <c r="D99" s="149" t="s">
        <v>37</v>
      </c>
      <c r="E99" s="153">
        <f>0.13*0.3*6.6</f>
        <v>0.25739999999999996</v>
      </c>
      <c r="F99" s="151">
        <f>'AN BETON'!F286</f>
        <v>5051304.9766112268</v>
      </c>
      <c r="G99" s="151">
        <f t="shared" si="15"/>
        <v>1300205.9009797296</v>
      </c>
    </row>
    <row r="100" spans="1:7" s="139" customFormat="1" ht="15" customHeight="1">
      <c r="A100" s="147">
        <f t="shared" si="13"/>
        <v>8</v>
      </c>
      <c r="B100" s="131" t="s">
        <v>274</v>
      </c>
      <c r="C100" s="169" t="s">
        <v>43</v>
      </c>
      <c r="D100" s="149" t="s">
        <v>37</v>
      </c>
      <c r="E100" s="153">
        <f>0.35*0.3*17.85</f>
        <v>1.87425</v>
      </c>
      <c r="F100" s="151">
        <f>'AN BETON'!F346</f>
        <v>3799083.3446823442</v>
      </c>
      <c r="G100" s="151">
        <f t="shared" si="15"/>
        <v>7120431.9587708833</v>
      </c>
    </row>
    <row r="101" spans="1:7" s="139" customFormat="1" ht="15" customHeight="1">
      <c r="A101" s="147">
        <f t="shared" si="13"/>
        <v>9</v>
      </c>
      <c r="B101" s="131" t="s">
        <v>275</v>
      </c>
      <c r="C101" s="169" t="s">
        <v>43</v>
      </c>
      <c r="D101" s="149" t="s">
        <v>37</v>
      </c>
      <c r="E101" s="153">
        <f>0.35*0.3*13.2</f>
        <v>1.3859999999999999</v>
      </c>
      <c r="F101" s="151">
        <f>'AN BETON'!F352</f>
        <v>3719492.3627003627</v>
      </c>
      <c r="G101" s="151">
        <f t="shared" si="15"/>
        <v>5155216.4147027023</v>
      </c>
    </row>
    <row r="102" spans="1:7" s="139" customFormat="1" ht="15" customHeight="1">
      <c r="A102" s="147">
        <f t="shared" si="13"/>
        <v>10</v>
      </c>
      <c r="B102" s="131" t="s">
        <v>277</v>
      </c>
      <c r="C102" s="169" t="s">
        <v>43</v>
      </c>
      <c r="D102" s="149" t="s">
        <v>37</v>
      </c>
      <c r="E102" s="153">
        <f>0.13*0.2*16.65</f>
        <v>0.43290000000000001</v>
      </c>
      <c r="F102" s="151">
        <f>'AN BETON'!F250</f>
        <v>3984189.7891860395</v>
      </c>
      <c r="G102" s="151">
        <f t="shared" si="15"/>
        <v>1724755.7597386364</v>
      </c>
    </row>
    <row r="103" spans="1:7" s="139" customFormat="1" ht="15" customHeight="1">
      <c r="A103" s="147"/>
      <c r="B103" s="131"/>
      <c r="C103" s="169"/>
      <c r="D103" s="149"/>
      <c r="E103" s="153"/>
      <c r="F103" s="151"/>
      <c r="G103" s="151">
        <f t="shared" ref="G103:G114" si="16">E103*F103</f>
        <v>0</v>
      </c>
    </row>
    <row r="104" spans="1:7" s="139" customFormat="1" ht="15" customHeight="1">
      <c r="A104" s="154"/>
      <c r="B104" s="155" t="s">
        <v>29</v>
      </c>
      <c r="C104" s="148"/>
      <c r="D104" s="149"/>
      <c r="E104" s="153"/>
      <c r="F104" s="151"/>
      <c r="G104" s="151">
        <f t="shared" si="16"/>
        <v>0</v>
      </c>
    </row>
    <row r="105" spans="1:7" s="139" customFormat="1" ht="15" customHeight="1">
      <c r="A105" s="154">
        <v>1</v>
      </c>
      <c r="B105" s="155" t="s">
        <v>527</v>
      </c>
      <c r="C105" s="148"/>
      <c r="D105" s="149" t="s">
        <v>37</v>
      </c>
      <c r="E105" s="153">
        <f>0.2*0.3*6.3</f>
        <v>0.378</v>
      </c>
      <c r="F105" s="151">
        <f>'AN BETON'!F316</f>
        <v>3533134.3865342615</v>
      </c>
      <c r="G105" s="151">
        <f t="shared" si="16"/>
        <v>1335524.798109951</v>
      </c>
    </row>
    <row r="106" spans="1:7" s="139" customFormat="1" ht="15" customHeight="1">
      <c r="A106" s="154">
        <v>2</v>
      </c>
      <c r="B106" s="155" t="s">
        <v>528</v>
      </c>
      <c r="C106" s="148"/>
      <c r="D106" s="149" t="s">
        <v>37</v>
      </c>
      <c r="E106" s="153">
        <f>0.13*0.2*10.5</f>
        <v>0.27300000000000002</v>
      </c>
      <c r="F106" s="151">
        <f>'AN BETON'!F256</f>
        <v>4932345.9014521521</v>
      </c>
      <c r="G106" s="151">
        <f t="shared" si="16"/>
        <v>1346530.4310964376</v>
      </c>
    </row>
    <row r="107" spans="1:7" s="139" customFormat="1" ht="15" customHeight="1">
      <c r="A107" s="154">
        <v>3</v>
      </c>
      <c r="B107" s="155" t="s">
        <v>530</v>
      </c>
      <c r="C107" s="148"/>
      <c r="D107" s="149" t="s">
        <v>37</v>
      </c>
      <c r="E107" s="153">
        <f>0.2*0.3*3.6</f>
        <v>0.216</v>
      </c>
      <c r="F107" s="151">
        <f>'AN BETON'!F322</f>
        <v>3572365.6263991268</v>
      </c>
      <c r="G107" s="151">
        <f t="shared" si="16"/>
        <v>771630.97530221136</v>
      </c>
    </row>
    <row r="108" spans="1:7" s="139" customFormat="1" ht="15" customHeight="1">
      <c r="A108" s="154">
        <v>4</v>
      </c>
      <c r="B108" s="155" t="s">
        <v>529</v>
      </c>
      <c r="C108" s="148"/>
      <c r="D108" s="149" t="s">
        <v>37</v>
      </c>
      <c r="E108" s="153">
        <f>0.2*0.3*3.15</f>
        <v>0.189</v>
      </c>
      <c r="F108" s="151">
        <f>'AN BETON'!F328</f>
        <v>3761772.6984711988</v>
      </c>
      <c r="G108" s="151">
        <f t="shared" si="16"/>
        <v>710975.04001105658</v>
      </c>
    </row>
    <row r="109" spans="1:7" s="139" customFormat="1" ht="15" customHeight="1">
      <c r="A109" s="154">
        <v>5</v>
      </c>
      <c r="B109" s="155" t="s">
        <v>531</v>
      </c>
      <c r="C109" s="148"/>
      <c r="D109" s="149" t="s">
        <v>37</v>
      </c>
      <c r="E109" s="153">
        <f>0.13*0.4*3</f>
        <v>0.15600000000000003</v>
      </c>
      <c r="F109" s="151">
        <f>'AN BETON'!F304</f>
        <v>4330617.9352516849</v>
      </c>
      <c r="G109" s="151">
        <f t="shared" si="16"/>
        <v>675576.39789926296</v>
      </c>
    </row>
    <row r="110" spans="1:7" s="139" customFormat="1" ht="15" customHeight="1">
      <c r="A110" s="154">
        <v>6</v>
      </c>
      <c r="B110" s="155" t="s">
        <v>534</v>
      </c>
      <c r="C110" s="148"/>
      <c r="D110" s="149" t="s">
        <v>37</v>
      </c>
      <c r="E110" s="153">
        <f>0.13*0.3*12.75</f>
        <v>0.49725000000000003</v>
      </c>
      <c r="F110" s="151">
        <f>'AN BETON'!F268</f>
        <v>4662777.649283899</v>
      </c>
      <c r="G110" s="151">
        <f t="shared" si="16"/>
        <v>2318566.1861064187</v>
      </c>
    </row>
    <row r="111" spans="1:7" s="139" customFormat="1" ht="15" customHeight="1">
      <c r="A111" s="154">
        <v>7</v>
      </c>
      <c r="B111" s="155" t="s">
        <v>532</v>
      </c>
      <c r="C111" s="148"/>
      <c r="D111" s="149" t="s">
        <v>37</v>
      </c>
      <c r="E111" s="153">
        <f>0.13*0.3*4.65</f>
        <v>0.18135000000000001</v>
      </c>
      <c r="F111" s="151">
        <f>'AN BETON'!F274</f>
        <v>4954173.1447793953</v>
      </c>
      <c r="G111" s="151">
        <f t="shared" si="16"/>
        <v>898439.29980574339</v>
      </c>
    </row>
    <row r="112" spans="1:7" s="139" customFormat="1" ht="15" customHeight="1">
      <c r="A112" s="154">
        <v>8</v>
      </c>
      <c r="B112" s="155" t="s">
        <v>533</v>
      </c>
      <c r="C112" s="148"/>
      <c r="D112" s="149" t="s">
        <v>37</v>
      </c>
      <c r="E112" s="153">
        <f>0.35*0.4*8.55</f>
        <v>1.1970000000000001</v>
      </c>
      <c r="F112" s="151">
        <f>'AN BETON'!F358</f>
        <v>3378026.5990698487</v>
      </c>
      <c r="G112" s="151">
        <f t="shared" si="16"/>
        <v>4043497.839086609</v>
      </c>
    </row>
    <row r="113" spans="1:8" s="139" customFormat="1" ht="15" customHeight="1">
      <c r="A113" s="154">
        <v>9</v>
      </c>
      <c r="B113" s="155" t="s">
        <v>555</v>
      </c>
      <c r="C113" s="148"/>
      <c r="D113" s="149" t="s">
        <v>37</v>
      </c>
      <c r="E113" s="153">
        <f>0.08*0.2*68</f>
        <v>1.0880000000000001</v>
      </c>
      <c r="F113" s="151">
        <f>'AN BETON'!F404</f>
        <v>6165899.9723715186</v>
      </c>
      <c r="G113" s="151">
        <f t="shared" si="16"/>
        <v>6708499.1699402127</v>
      </c>
    </row>
    <row r="114" spans="1:8" s="139" customFormat="1" ht="15" customHeight="1">
      <c r="A114" s="147"/>
      <c r="B114" s="170"/>
      <c r="C114" s="148"/>
      <c r="D114" s="149"/>
      <c r="E114" s="153"/>
      <c r="F114" s="151"/>
      <c r="G114" s="151">
        <f t="shared" si="16"/>
        <v>0</v>
      </c>
    </row>
    <row r="115" spans="1:8" s="168" customFormat="1" ht="15" customHeight="1">
      <c r="A115" s="161"/>
      <c r="B115" s="162"/>
      <c r="C115" s="163"/>
      <c r="D115" s="164"/>
      <c r="E115" s="165"/>
      <c r="F115" s="166"/>
      <c r="G115" s="167">
        <f>SUM(G93:G114)</f>
        <v>51341329.35003496</v>
      </c>
    </row>
    <row r="116" spans="1:8" s="146" customFormat="1" ht="15" customHeight="1">
      <c r="A116" s="140" t="s">
        <v>52</v>
      </c>
      <c r="B116" s="141" t="s">
        <v>53</v>
      </c>
      <c r="C116" s="142"/>
      <c r="D116" s="143"/>
      <c r="E116" s="144"/>
      <c r="F116" s="145"/>
      <c r="G116" s="145"/>
    </row>
    <row r="117" spans="1:8" s="139" customFormat="1" ht="15" customHeight="1">
      <c r="A117" s="147">
        <v>1</v>
      </c>
      <c r="B117" s="175" t="s">
        <v>54</v>
      </c>
      <c r="C117" s="176" t="s">
        <v>291</v>
      </c>
      <c r="D117" s="149" t="s">
        <v>40</v>
      </c>
      <c r="E117" s="177">
        <f>(74.5+85)*0.4</f>
        <v>63.800000000000004</v>
      </c>
      <c r="F117" s="151">
        <f>Analisa!F98</f>
        <v>106861.25</v>
      </c>
      <c r="G117" s="151">
        <f t="shared" ref="G117:G130" si="17">E117*F117</f>
        <v>6817747.75</v>
      </c>
    </row>
    <row r="118" spans="1:8" s="139" customFormat="1" ht="15" customHeight="1">
      <c r="A118" s="147">
        <f>1+A117</f>
        <v>2</v>
      </c>
      <c r="B118" s="175" t="s">
        <v>56</v>
      </c>
      <c r="C118" s="176" t="s">
        <v>291</v>
      </c>
      <c r="D118" s="149" t="s">
        <v>40</v>
      </c>
      <c r="E118" s="177">
        <f>43.6*4-0.9*2</f>
        <v>172.6</v>
      </c>
      <c r="F118" s="151">
        <f>F117</f>
        <v>106861.25</v>
      </c>
      <c r="G118" s="151">
        <f t="shared" si="17"/>
        <v>18444251.75</v>
      </c>
    </row>
    <row r="119" spans="1:8" s="139" customFormat="1" ht="15" customHeight="1">
      <c r="A119" s="147">
        <f>1+A118</f>
        <v>3</v>
      </c>
      <c r="B119" s="175" t="s">
        <v>290</v>
      </c>
      <c r="C119" s="176" t="s">
        <v>291</v>
      </c>
      <c r="D119" s="149" t="s">
        <v>40</v>
      </c>
      <c r="E119" s="177">
        <f>15.6*4-13.6</f>
        <v>48.8</v>
      </c>
      <c r="F119" s="151">
        <f>Analisa!F150</f>
        <v>95000</v>
      </c>
      <c r="G119" s="151">
        <f t="shared" ref="G119" si="18">E119*F119</f>
        <v>4636000</v>
      </c>
    </row>
    <row r="120" spans="1:8" s="139" customFormat="1" ht="15" customHeight="1">
      <c r="A120" s="147">
        <f>1+A119</f>
        <v>4</v>
      </c>
      <c r="B120" s="131" t="s">
        <v>175</v>
      </c>
      <c r="C120" s="176" t="s">
        <v>57</v>
      </c>
      <c r="D120" s="149" t="s">
        <v>40</v>
      </c>
      <c r="E120" s="177">
        <f>(E118+E119+E128)*2-E123</f>
        <v>532.38800000000003</v>
      </c>
      <c r="F120" s="151">
        <f>Analisa!F122+Analisa!F131</f>
        <v>71271.199999999997</v>
      </c>
      <c r="G120" s="151">
        <f t="shared" si="17"/>
        <v>37943931.625600003</v>
      </c>
    </row>
    <row r="121" spans="1:8" s="139" customFormat="1" ht="15" customHeight="1">
      <c r="A121" s="147">
        <f t="shared" ref="A121" si="19">1+A120</f>
        <v>5</v>
      </c>
      <c r="B121" s="131" t="s">
        <v>58</v>
      </c>
      <c r="C121" s="176" t="s">
        <v>57</v>
      </c>
      <c r="D121" s="149" t="s">
        <v>40</v>
      </c>
      <c r="E121" s="177">
        <f>7*4+66*0.5</f>
        <v>61</v>
      </c>
      <c r="F121" s="151">
        <f>Analisa!F122+Analisa!F136</f>
        <v>81314.399999999994</v>
      </c>
      <c r="G121" s="151">
        <f t="shared" si="17"/>
        <v>4960178.3999999994</v>
      </c>
    </row>
    <row r="122" spans="1:8" s="139" customFormat="1" ht="15" customHeight="1">
      <c r="A122" s="147">
        <f t="shared" ref="A122:A124" si="20">1+A121</f>
        <v>6</v>
      </c>
      <c r="B122" s="131" t="s">
        <v>59</v>
      </c>
      <c r="C122" s="148"/>
      <c r="D122" s="149" t="s">
        <v>23</v>
      </c>
      <c r="E122" s="177">
        <v>630</v>
      </c>
      <c r="F122" s="151">
        <f>Analisa!F126</f>
        <v>21776.94</v>
      </c>
      <c r="G122" s="151">
        <f t="shared" si="17"/>
        <v>13719472.199999999</v>
      </c>
      <c r="H122" s="160"/>
    </row>
    <row r="123" spans="1:8" s="139" customFormat="1" ht="15" customHeight="1">
      <c r="A123" s="147">
        <f t="shared" si="20"/>
        <v>7</v>
      </c>
      <c r="B123" s="131" t="s">
        <v>60</v>
      </c>
      <c r="C123" s="176" t="s">
        <v>57</v>
      </c>
      <c r="D123" s="149" t="s">
        <v>40</v>
      </c>
      <c r="E123" s="177">
        <f>19*4.5-0.6*0.32*4</f>
        <v>84.731999999999999</v>
      </c>
      <c r="F123" s="151">
        <f>F120</f>
        <v>71271.199999999997</v>
      </c>
      <c r="G123" s="151">
        <f t="shared" si="17"/>
        <v>6038951.3183999993</v>
      </c>
    </row>
    <row r="124" spans="1:8" s="139" customFormat="1" ht="15" customHeight="1">
      <c r="A124" s="147">
        <f t="shared" si="20"/>
        <v>8</v>
      </c>
      <c r="B124" s="131" t="s">
        <v>61</v>
      </c>
      <c r="C124" s="176"/>
      <c r="D124" s="149" t="s">
        <v>40</v>
      </c>
      <c r="E124" s="177">
        <f>E123</f>
        <v>84.731999999999999</v>
      </c>
      <c r="F124" s="151">
        <f>Analisa!F165</f>
        <v>65000</v>
      </c>
      <c r="G124" s="151">
        <f t="shared" si="17"/>
        <v>5507580</v>
      </c>
    </row>
    <row r="125" spans="1:8" s="139" customFormat="1" ht="15" customHeight="1">
      <c r="A125" s="147"/>
      <c r="B125" s="131"/>
      <c r="C125" s="148"/>
      <c r="D125" s="149"/>
      <c r="E125" s="177"/>
      <c r="F125" s="151"/>
      <c r="G125" s="151">
        <f t="shared" si="17"/>
        <v>0</v>
      </c>
    </row>
    <row r="126" spans="1:8" s="139" customFormat="1" ht="15" customHeight="1">
      <c r="A126" s="154"/>
      <c r="B126" s="155" t="s">
        <v>29</v>
      </c>
      <c r="C126" s="148"/>
      <c r="D126" s="149"/>
      <c r="E126" s="153"/>
      <c r="F126" s="151"/>
      <c r="G126" s="151">
        <f t="shared" si="17"/>
        <v>0</v>
      </c>
    </row>
    <row r="127" spans="1:8" s="139" customFormat="1" ht="15" customHeight="1">
      <c r="A127" s="154">
        <v>1</v>
      </c>
      <c r="B127" s="178" t="s">
        <v>543</v>
      </c>
      <c r="C127" s="179"/>
      <c r="D127" s="149" t="s">
        <v>37</v>
      </c>
      <c r="E127" s="153">
        <f>0.38*1.65</f>
        <v>0.627</v>
      </c>
      <c r="F127" s="151">
        <f>Analisa!F104*10</f>
        <v>929890</v>
      </c>
      <c r="G127" s="151">
        <f t="shared" si="17"/>
        <v>583041.03</v>
      </c>
    </row>
    <row r="128" spans="1:8" s="139" customFormat="1" ht="15" customHeight="1">
      <c r="A128" s="154">
        <v>2</v>
      </c>
      <c r="B128" s="178" t="s">
        <v>544</v>
      </c>
      <c r="C128" s="179"/>
      <c r="D128" s="149" t="s">
        <v>40</v>
      </c>
      <c r="E128" s="153">
        <f>9.6*4+16*4-3.6*3.3-11.2*0.3</f>
        <v>87.160000000000011</v>
      </c>
      <c r="F128" s="151">
        <f>F117*2</f>
        <v>213722.5</v>
      </c>
      <c r="G128" s="151">
        <f t="shared" si="17"/>
        <v>18628053.100000001</v>
      </c>
    </row>
    <row r="129" spans="1:8" s="139" customFormat="1" ht="15" customHeight="1">
      <c r="A129" s="147"/>
      <c r="B129" s="509" t="s">
        <v>626</v>
      </c>
      <c r="C129" s="148"/>
      <c r="D129" s="149" t="s">
        <v>23</v>
      </c>
      <c r="E129" s="508">
        <v>30</v>
      </c>
      <c r="F129" s="151">
        <f>Analisa!F198</f>
        <v>33750</v>
      </c>
      <c r="G129" s="151">
        <f t="shared" si="17"/>
        <v>1012500</v>
      </c>
    </row>
    <row r="130" spans="1:8" s="139" customFormat="1" ht="15" customHeight="1">
      <c r="A130" s="147"/>
      <c r="B130" s="490" t="s">
        <v>627</v>
      </c>
      <c r="C130" s="148"/>
      <c r="D130" s="149" t="s">
        <v>40</v>
      </c>
      <c r="E130" s="508">
        <f>E137</f>
        <v>87.44</v>
      </c>
      <c r="F130" s="512">
        <f>F187</f>
        <v>65000</v>
      </c>
      <c r="G130" s="151">
        <f t="shared" si="17"/>
        <v>5683600</v>
      </c>
    </row>
    <row r="131" spans="1:8" s="168" customFormat="1" ht="15" customHeight="1">
      <c r="A131" s="510"/>
      <c r="B131" s="511"/>
      <c r="C131" s="163"/>
      <c r="D131" s="513"/>
      <c r="E131" s="165"/>
      <c r="F131" s="166"/>
      <c r="G131" s="167">
        <f>SUM(G117:G130)</f>
        <v>123975307.17400002</v>
      </c>
    </row>
    <row r="132" spans="1:8" s="146" customFormat="1" ht="15" customHeight="1">
      <c r="A132" s="140" t="s">
        <v>62</v>
      </c>
      <c r="B132" s="141" t="s">
        <v>63</v>
      </c>
      <c r="C132" s="142"/>
      <c r="D132" s="143"/>
      <c r="E132" s="144"/>
      <c r="F132" s="145"/>
      <c r="G132" s="145"/>
    </row>
    <row r="133" spans="1:8" s="139" customFormat="1" ht="15" customHeight="1">
      <c r="A133" s="147"/>
      <c r="B133" s="180" t="s">
        <v>64</v>
      </c>
      <c r="C133" s="148"/>
      <c r="D133" s="149"/>
      <c r="E133" s="153"/>
      <c r="F133" s="151"/>
      <c r="G133" s="151"/>
    </row>
    <row r="134" spans="1:8" s="139" customFormat="1" ht="11.4">
      <c r="A134" s="147">
        <v>1</v>
      </c>
      <c r="B134" s="181" t="s">
        <v>65</v>
      </c>
      <c r="C134" s="182" t="s">
        <v>294</v>
      </c>
      <c r="D134" s="149" t="s">
        <v>40</v>
      </c>
      <c r="E134" s="183">
        <f>5*14.4+1.4*13.6+18.2*4.6+32.6*1.5+2.75*12.3</f>
        <v>257.48500000000001</v>
      </c>
      <c r="F134" s="151">
        <f>379100/1.44*1.15+Analisa!F212</f>
        <v>433407.31335902371</v>
      </c>
      <c r="G134" s="151">
        <f t="shared" ref="G134:G147" si="21">E134*F134</f>
        <v>111595882.08024822</v>
      </c>
    </row>
    <row r="135" spans="1:8" s="139" customFormat="1" ht="15" customHeight="1">
      <c r="A135" s="147">
        <f>A134+1</f>
        <v>2</v>
      </c>
      <c r="B135" s="181" t="s">
        <v>66</v>
      </c>
      <c r="C135" s="182" t="s">
        <v>295</v>
      </c>
      <c r="D135" s="149" t="s">
        <v>40</v>
      </c>
      <c r="E135" s="183">
        <f>4.6*7+1.5*1.6</f>
        <v>34.599999999999994</v>
      </c>
      <c r="F135" s="151">
        <f>112000*1.15+Analisa!F142</f>
        <v>208062.5</v>
      </c>
      <c r="G135" s="151">
        <f t="shared" si="21"/>
        <v>7198962.4999999991</v>
      </c>
    </row>
    <row r="136" spans="1:8" s="139" customFormat="1" ht="11.4">
      <c r="A136" s="147">
        <f t="shared" ref="A136:A139" si="22">A135+1</f>
        <v>3</v>
      </c>
      <c r="B136" s="181" t="s">
        <v>67</v>
      </c>
      <c r="C136" s="182" t="s">
        <v>296</v>
      </c>
      <c r="D136" s="149" t="s">
        <v>40</v>
      </c>
      <c r="E136" s="183">
        <f>2*20</f>
        <v>40</v>
      </c>
      <c r="F136" s="151">
        <f>182500*1.15+Analisa!F142</f>
        <v>289137.5</v>
      </c>
      <c r="G136" s="151">
        <f t="shared" si="21"/>
        <v>11565500</v>
      </c>
    </row>
    <row r="137" spans="1:8" s="139" customFormat="1" ht="15" customHeight="1">
      <c r="A137" s="147">
        <f t="shared" si="22"/>
        <v>4</v>
      </c>
      <c r="B137" s="181" t="s">
        <v>300</v>
      </c>
      <c r="C137" s="182" t="s">
        <v>301</v>
      </c>
      <c r="D137" s="149" t="s">
        <v>40</v>
      </c>
      <c r="E137" s="183">
        <f>14.2*4-11.2*0.3+8.5*4</f>
        <v>87.44</v>
      </c>
      <c r="F137" s="151">
        <f>118000*1.15+Analisa!F156</f>
        <v>257875</v>
      </c>
      <c r="G137" s="151">
        <f t="shared" si="21"/>
        <v>22548590</v>
      </c>
      <c r="H137" s="160"/>
    </row>
    <row r="138" spans="1:8" s="139" customFormat="1" ht="15" customHeight="1">
      <c r="A138" s="147">
        <f t="shared" si="22"/>
        <v>5</v>
      </c>
      <c r="B138" s="181" t="s">
        <v>302</v>
      </c>
      <c r="C138" s="182" t="s">
        <v>301</v>
      </c>
      <c r="D138" s="149" t="s">
        <v>40</v>
      </c>
      <c r="E138" s="183">
        <f>14.2*4-11.2*0.3</f>
        <v>53.44</v>
      </c>
      <c r="F138" s="151">
        <f>F137</f>
        <v>257875</v>
      </c>
      <c r="G138" s="151">
        <f t="shared" si="21"/>
        <v>13780840</v>
      </c>
      <c r="H138" s="160"/>
    </row>
    <row r="139" spans="1:8" s="139" customFormat="1" ht="15" customHeight="1">
      <c r="A139" s="147">
        <f t="shared" si="22"/>
        <v>6</v>
      </c>
      <c r="B139" s="181" t="s">
        <v>320</v>
      </c>
      <c r="C139" s="182"/>
      <c r="D139" s="149" t="s">
        <v>75</v>
      </c>
      <c r="E139" s="183">
        <f>112.86</f>
        <v>112.86</v>
      </c>
      <c r="F139" s="151">
        <f>Analisa!F216</f>
        <v>30450</v>
      </c>
      <c r="G139" s="151">
        <f t="shared" si="21"/>
        <v>3436587</v>
      </c>
    </row>
    <row r="140" spans="1:8" s="139" customFormat="1" ht="15" customHeight="1">
      <c r="A140" s="147"/>
      <c r="B140" s="170"/>
      <c r="C140" s="148"/>
      <c r="D140" s="149"/>
      <c r="E140" s="153"/>
      <c r="F140" s="151"/>
      <c r="G140" s="151">
        <f t="shared" si="21"/>
        <v>0</v>
      </c>
    </row>
    <row r="141" spans="1:8" s="139" customFormat="1" ht="15" customHeight="1">
      <c r="A141" s="154"/>
      <c r="B141" s="155" t="s">
        <v>29</v>
      </c>
      <c r="C141" s="148"/>
      <c r="D141" s="149"/>
      <c r="E141" s="153"/>
      <c r="F141" s="151"/>
      <c r="G141" s="151">
        <f t="shared" si="21"/>
        <v>0</v>
      </c>
    </row>
    <row r="142" spans="1:8" s="139" customFormat="1" ht="15" customHeight="1">
      <c r="A142" s="154">
        <v>1</v>
      </c>
      <c r="B142" s="155" t="s">
        <v>549</v>
      </c>
      <c r="C142" s="182" t="s">
        <v>295</v>
      </c>
      <c r="D142" s="149" t="s">
        <v>40</v>
      </c>
      <c r="E142" s="153">
        <f>0.45*1.5*4.5</f>
        <v>3.0375000000000001</v>
      </c>
      <c r="F142" s="151">
        <f>112000*1.25+Analisa!F142</f>
        <v>219262.5</v>
      </c>
      <c r="G142" s="151">
        <f t="shared" si="21"/>
        <v>666009.84375</v>
      </c>
      <c r="H142" s="160"/>
    </row>
    <row r="143" spans="1:8" s="139" customFormat="1" ht="15" customHeight="1">
      <c r="A143" s="154">
        <v>2</v>
      </c>
      <c r="B143" s="490" t="s">
        <v>620</v>
      </c>
      <c r="C143" s="182"/>
      <c r="D143" s="149" t="s">
        <v>37</v>
      </c>
      <c r="E143" s="165">
        <f>(9*1.2+5.2*1.2+11.2*1.1+1.8*0.6)*0.07</f>
        <v>2.1308000000000002</v>
      </c>
      <c r="F143" s="506">
        <f>'AN BETON'!F410</f>
        <v>3629492.6335978839</v>
      </c>
      <c r="G143" s="151">
        <f t="shared" si="21"/>
        <v>7733722.9036703715</v>
      </c>
    </row>
    <row r="144" spans="1:8" s="139" customFormat="1" ht="15" customHeight="1">
      <c r="A144" s="154">
        <v>3</v>
      </c>
      <c r="B144" s="155" t="s">
        <v>552</v>
      </c>
      <c r="C144" s="182" t="s">
        <v>295</v>
      </c>
      <c r="D144" s="149" t="s">
        <v>40</v>
      </c>
      <c r="E144" s="153">
        <f>28*3+24*3.2-0.8*2*4*2-1*2.8*2+5*1.2</f>
        <v>148.4</v>
      </c>
      <c r="F144" s="151">
        <f>112000*1.15+Analisa!F142</f>
        <v>208062.5</v>
      </c>
      <c r="G144" s="151">
        <f t="shared" si="21"/>
        <v>30876475</v>
      </c>
      <c r="H144" s="474"/>
    </row>
    <row r="145" spans="1:7" s="139" customFormat="1" ht="15" customHeight="1">
      <c r="A145" s="154">
        <v>4</v>
      </c>
      <c r="B145" s="155" t="s">
        <v>577</v>
      </c>
      <c r="C145" s="182"/>
      <c r="D145" s="149" t="s">
        <v>40</v>
      </c>
      <c r="E145" s="153">
        <f>6.8*4</f>
        <v>27.2</v>
      </c>
      <c r="F145" s="514">
        <f>1095000*0+1150000+215000+50000+150000</f>
        <v>1565000</v>
      </c>
      <c r="G145" s="151">
        <f t="shared" si="21"/>
        <v>42568000</v>
      </c>
    </row>
    <row r="146" spans="1:7" s="139" customFormat="1" ht="15" customHeight="1">
      <c r="A146" s="147"/>
      <c r="B146" s="509" t="s">
        <v>628</v>
      </c>
      <c r="C146" s="182" t="s">
        <v>296</v>
      </c>
      <c r="D146" s="149" t="s">
        <v>40</v>
      </c>
      <c r="E146" s="153">
        <v>13.58</v>
      </c>
      <c r="F146" s="151">
        <f>F136</f>
        <v>289137.5</v>
      </c>
      <c r="G146" s="151">
        <f t="shared" si="21"/>
        <v>3926487.25</v>
      </c>
    </row>
    <row r="147" spans="1:7" s="139" customFormat="1" ht="15" customHeight="1">
      <c r="A147" s="147"/>
      <c r="B147" s="509" t="s">
        <v>630</v>
      </c>
      <c r="C147" s="182" t="s">
        <v>631</v>
      </c>
      <c r="D147" s="149" t="s">
        <v>40</v>
      </c>
      <c r="E147" s="153">
        <f>40.9</f>
        <v>40.9</v>
      </c>
      <c r="F147" s="512">
        <f>225000*1.15+Analisa!F156</f>
        <v>380925</v>
      </c>
      <c r="G147" s="151">
        <f t="shared" si="21"/>
        <v>15579832.5</v>
      </c>
    </row>
    <row r="148" spans="1:7" s="168" customFormat="1" ht="15" customHeight="1">
      <c r="A148" s="161"/>
      <c r="B148" s="162"/>
      <c r="C148" s="163"/>
      <c r="D148" s="164"/>
      <c r="E148" s="165"/>
      <c r="F148" s="166"/>
      <c r="G148" s="167">
        <f>SUM(G134:G147)</f>
        <v>271476889.07766861</v>
      </c>
    </row>
    <row r="149" spans="1:7" s="146" customFormat="1" ht="15" customHeight="1">
      <c r="A149" s="140" t="s">
        <v>68</v>
      </c>
      <c r="B149" s="141" t="s">
        <v>69</v>
      </c>
      <c r="C149" s="142"/>
      <c r="D149" s="143"/>
      <c r="E149" s="144"/>
      <c r="F149" s="145"/>
      <c r="G149" s="145"/>
    </row>
    <row r="150" spans="1:7" s="139" customFormat="1" ht="15" customHeight="1">
      <c r="A150" s="147">
        <v>1</v>
      </c>
      <c r="B150" s="131" t="s">
        <v>70</v>
      </c>
      <c r="C150" s="148" t="s">
        <v>71</v>
      </c>
      <c r="D150" s="149" t="s">
        <v>40</v>
      </c>
      <c r="E150" s="177">
        <f>27.2*6.2+2*9+21*9-E151</f>
        <v>209.48</v>
      </c>
      <c r="F150" s="151">
        <f>Analisa!F146</f>
        <v>75000</v>
      </c>
      <c r="G150" s="151">
        <f>E150*F150</f>
        <v>15711000</v>
      </c>
    </row>
    <row r="151" spans="1:7" s="139" customFormat="1" ht="11.4">
      <c r="A151" s="147">
        <f>A150+1</f>
        <v>2</v>
      </c>
      <c r="B151" s="132" t="s">
        <v>72</v>
      </c>
      <c r="C151" s="148" t="s">
        <v>71</v>
      </c>
      <c r="D151" s="149" t="s">
        <v>40</v>
      </c>
      <c r="E151" s="177">
        <f>4.6*12+8.6*1.6+18*2.4+3*9+18*1.5</f>
        <v>166.16</v>
      </c>
      <c r="F151" s="151">
        <f>Analisa!F150</f>
        <v>95000</v>
      </c>
      <c r="G151" s="151">
        <f t="shared" ref="G151:G158" si="23">E151*F151</f>
        <v>15785200</v>
      </c>
    </row>
    <row r="152" spans="1:7" s="139" customFormat="1" ht="15" customHeight="1">
      <c r="A152" s="147">
        <f>A151+1</f>
        <v>3</v>
      </c>
      <c r="B152" s="131" t="s">
        <v>73</v>
      </c>
      <c r="C152" s="148"/>
      <c r="D152" s="149" t="s">
        <v>35</v>
      </c>
      <c r="E152" s="177">
        <f>6*0+1</f>
        <v>1</v>
      </c>
      <c r="F152" s="151">
        <v>250000</v>
      </c>
      <c r="G152" s="151">
        <f t="shared" si="23"/>
        <v>250000</v>
      </c>
    </row>
    <row r="153" spans="1:7" s="139" customFormat="1" ht="15" customHeight="1">
      <c r="A153" s="147">
        <f>A152+1</f>
        <v>4</v>
      </c>
      <c r="B153" s="131" t="s">
        <v>74</v>
      </c>
      <c r="C153" s="148"/>
      <c r="D153" s="149" t="s">
        <v>75</v>
      </c>
      <c r="E153" s="153">
        <v>214.4</v>
      </c>
      <c r="F153" s="151">
        <f>Analisa!F206</f>
        <v>20450</v>
      </c>
      <c r="G153" s="151">
        <f t="shared" si="23"/>
        <v>4384480</v>
      </c>
    </row>
    <row r="154" spans="1:7" s="139" customFormat="1" ht="15" customHeight="1">
      <c r="A154" s="147"/>
      <c r="B154" s="131"/>
      <c r="C154" s="148"/>
      <c r="D154" s="149"/>
      <c r="E154" s="153"/>
      <c r="F154" s="151"/>
      <c r="G154" s="151">
        <f t="shared" si="23"/>
        <v>0</v>
      </c>
    </row>
    <row r="155" spans="1:7" s="139" customFormat="1" ht="15" customHeight="1">
      <c r="A155" s="154"/>
      <c r="B155" s="155" t="s">
        <v>29</v>
      </c>
      <c r="C155" s="148"/>
      <c r="D155" s="149"/>
      <c r="E155" s="153"/>
      <c r="F155" s="151"/>
      <c r="G155" s="151">
        <f t="shared" si="23"/>
        <v>0</v>
      </c>
    </row>
    <row r="156" spans="1:7" s="139" customFormat="1" ht="15" customHeight="1">
      <c r="A156" s="154">
        <v>1</v>
      </c>
      <c r="B156" s="155"/>
      <c r="C156" s="148"/>
      <c r="D156" s="149"/>
      <c r="E156" s="153"/>
      <c r="F156" s="151"/>
      <c r="G156" s="151">
        <f t="shared" si="23"/>
        <v>0</v>
      </c>
    </row>
    <row r="157" spans="1:7" s="139" customFormat="1" ht="15" customHeight="1">
      <c r="A157" s="154">
        <v>2</v>
      </c>
      <c r="B157" s="155"/>
      <c r="C157" s="148"/>
      <c r="D157" s="149"/>
      <c r="E157" s="153"/>
      <c r="F157" s="151"/>
      <c r="G157" s="151">
        <f t="shared" si="23"/>
        <v>0</v>
      </c>
    </row>
    <row r="158" spans="1:7" s="139" customFormat="1" ht="15" customHeight="1">
      <c r="A158" s="147"/>
      <c r="B158" s="131"/>
      <c r="C158" s="148"/>
      <c r="D158" s="149"/>
      <c r="E158" s="153"/>
      <c r="F158" s="151"/>
      <c r="G158" s="151">
        <f t="shared" si="23"/>
        <v>0</v>
      </c>
    </row>
    <row r="159" spans="1:7" s="168" customFormat="1" ht="15" customHeight="1">
      <c r="A159" s="161"/>
      <c r="B159" s="162"/>
      <c r="C159" s="163"/>
      <c r="D159" s="164"/>
      <c r="E159" s="165"/>
      <c r="F159" s="166"/>
      <c r="G159" s="167">
        <f>SUM(G150:G158)</f>
        <v>36130680</v>
      </c>
    </row>
    <row r="160" spans="1:7" s="146" customFormat="1" ht="15" customHeight="1">
      <c r="A160" s="140" t="s">
        <v>76</v>
      </c>
      <c r="B160" s="141" t="s">
        <v>77</v>
      </c>
      <c r="C160" s="142"/>
      <c r="D160" s="143"/>
      <c r="E160" s="144"/>
      <c r="F160" s="145"/>
      <c r="G160" s="145"/>
    </row>
    <row r="161" spans="1:11" s="139" customFormat="1" ht="15" customHeight="1">
      <c r="A161" s="147">
        <v>1</v>
      </c>
      <c r="B161" s="131" t="s">
        <v>305</v>
      </c>
      <c r="C161" s="148"/>
      <c r="D161" s="149" t="s">
        <v>21</v>
      </c>
      <c r="E161" s="153">
        <v>1</v>
      </c>
      <c r="F161" s="151">
        <f>1500000*3.65*3.34+1500000+1300000</f>
        <v>21086500</v>
      </c>
      <c r="G161" s="151">
        <f>E161*F161</f>
        <v>21086500</v>
      </c>
      <c r="H161" s="474"/>
    </row>
    <row r="162" spans="1:11" s="139" customFormat="1" ht="15" customHeight="1">
      <c r="A162" s="147">
        <f>1+A161</f>
        <v>2</v>
      </c>
      <c r="B162" s="131" t="s">
        <v>304</v>
      </c>
      <c r="C162" s="148"/>
      <c r="D162" s="149" t="s">
        <v>21</v>
      </c>
      <c r="E162" s="153">
        <v>1</v>
      </c>
      <c r="F162" s="151">
        <f>1500000*0.6*1.35+700000+500000</f>
        <v>2415000</v>
      </c>
      <c r="G162" s="151">
        <f t="shared" ref="G162:G174" si="24">E162*F162</f>
        <v>2415000</v>
      </c>
      <c r="H162" s="474"/>
    </row>
    <row r="163" spans="1:11" s="139" customFormat="1" ht="15" customHeight="1">
      <c r="A163" s="147">
        <f>1+A162</f>
        <v>3</v>
      </c>
      <c r="B163" s="131" t="s">
        <v>308</v>
      </c>
      <c r="C163" s="148" t="s">
        <v>307</v>
      </c>
      <c r="D163" s="149" t="s">
        <v>21</v>
      </c>
      <c r="E163" s="153">
        <v>2</v>
      </c>
      <c r="F163" s="151">
        <f>1.05*1.3*2150000+600000+600000</f>
        <v>4134750.0000000005</v>
      </c>
      <c r="G163" s="151">
        <f t="shared" si="24"/>
        <v>8269500.0000000009</v>
      </c>
      <c r="H163" s="472"/>
      <c r="I163" s="475"/>
      <c r="J163" s="454"/>
      <c r="K163" s="474"/>
    </row>
    <row r="164" spans="1:11" s="139" customFormat="1" ht="15" customHeight="1">
      <c r="A164" s="147">
        <f>1+A163</f>
        <v>4</v>
      </c>
      <c r="B164" s="184" t="s">
        <v>332</v>
      </c>
      <c r="C164" s="182" t="s">
        <v>318</v>
      </c>
      <c r="D164" s="149" t="s">
        <v>21</v>
      </c>
      <c r="E164" s="153">
        <v>5</v>
      </c>
      <c r="F164" s="185">
        <f>'AN KUSEN'!G14</f>
        <v>4502566.9369369373</v>
      </c>
      <c r="G164" s="151">
        <f t="shared" si="24"/>
        <v>22512834.684684686</v>
      </c>
    </row>
    <row r="165" spans="1:11" s="139" customFormat="1" ht="15" customHeight="1">
      <c r="A165" s="147">
        <f>1+A164</f>
        <v>5</v>
      </c>
      <c r="B165" s="184" t="s">
        <v>333</v>
      </c>
      <c r="C165" s="182" t="s">
        <v>318</v>
      </c>
      <c r="D165" s="149" t="s">
        <v>21</v>
      </c>
      <c r="E165" s="153">
        <v>1</v>
      </c>
      <c r="F165" s="185">
        <f>'AN KUSEN'!G24</f>
        <v>4633330.4504504502</v>
      </c>
      <c r="G165" s="151">
        <f t="shared" ref="G165" si="25">E165*F165</f>
        <v>4633330.4504504502</v>
      </c>
      <c r="I165" s="454"/>
    </row>
    <row r="166" spans="1:11" s="139" customFormat="1" ht="15" customHeight="1">
      <c r="A166" s="147">
        <f t="shared" ref="A166:A169" si="26">1+A165</f>
        <v>6</v>
      </c>
      <c r="B166" s="184" t="s">
        <v>303</v>
      </c>
      <c r="C166" s="148" t="s">
        <v>309</v>
      </c>
      <c r="D166" s="149" t="s">
        <v>21</v>
      </c>
      <c r="E166" s="153">
        <v>4</v>
      </c>
      <c r="F166" s="185">
        <f>633550</f>
        <v>633550</v>
      </c>
      <c r="G166" s="151">
        <f t="shared" si="24"/>
        <v>2534200</v>
      </c>
      <c r="I166" s="454"/>
    </row>
    <row r="167" spans="1:11" s="139" customFormat="1" ht="15" customHeight="1">
      <c r="A167" s="147">
        <f t="shared" si="26"/>
        <v>7</v>
      </c>
      <c r="B167" s="184" t="s">
        <v>306</v>
      </c>
      <c r="C167" s="148" t="s">
        <v>309</v>
      </c>
      <c r="D167" s="149" t="s">
        <v>21</v>
      </c>
      <c r="E167" s="153">
        <v>1</v>
      </c>
      <c r="F167" s="185">
        <f>3002556+24.6*Analisa!F194</f>
        <v>4134156</v>
      </c>
      <c r="G167" s="151">
        <f t="shared" ref="G167" si="27">E167*F167</f>
        <v>4134156</v>
      </c>
      <c r="I167" s="454"/>
    </row>
    <row r="168" spans="1:11" s="139" customFormat="1" ht="15" customHeight="1">
      <c r="A168" s="147">
        <f t="shared" si="26"/>
        <v>8</v>
      </c>
      <c r="B168" s="184" t="s">
        <v>310</v>
      </c>
      <c r="C168" s="148" t="s">
        <v>309</v>
      </c>
      <c r="D168" s="149" t="s">
        <v>21</v>
      </c>
      <c r="E168" s="165">
        <f>2*0</f>
        <v>0</v>
      </c>
      <c r="F168" s="185">
        <v>8500000</v>
      </c>
      <c r="G168" s="151">
        <f t="shared" ref="G168:G169" si="28">E168*F168</f>
        <v>0</v>
      </c>
      <c r="I168" s="454"/>
    </row>
    <row r="169" spans="1:11" s="139" customFormat="1" ht="15" customHeight="1">
      <c r="A169" s="147">
        <f t="shared" si="26"/>
        <v>9</v>
      </c>
      <c r="B169" s="184" t="s">
        <v>330</v>
      </c>
      <c r="C169" s="148" t="s">
        <v>331</v>
      </c>
      <c r="D169" s="149" t="s">
        <v>78</v>
      </c>
      <c r="E169" s="153">
        <f>10*2.9</f>
        <v>29</v>
      </c>
      <c r="F169" s="515">
        <f>(1095000*2+450000+400000+150000)*0+550000*2+150000+500000</f>
        <v>1750000</v>
      </c>
      <c r="G169" s="151">
        <f t="shared" si="28"/>
        <v>50750000</v>
      </c>
      <c r="H169" s="472"/>
      <c r="I169" s="454"/>
      <c r="J169" s="473"/>
    </row>
    <row r="170" spans="1:11" s="139" customFormat="1" ht="15" customHeight="1">
      <c r="A170" s="147"/>
      <c r="B170" s="184"/>
      <c r="C170" s="148" t="s">
        <v>629</v>
      </c>
      <c r="D170" s="149"/>
      <c r="E170" s="153"/>
      <c r="F170" s="185"/>
      <c r="G170" s="151">
        <f t="shared" si="24"/>
        <v>0</v>
      </c>
      <c r="H170" s="474"/>
      <c r="I170" s="454"/>
    </row>
    <row r="171" spans="1:11" s="139" customFormat="1" ht="15" customHeight="1">
      <c r="A171" s="154"/>
      <c r="B171" s="155" t="s">
        <v>29</v>
      </c>
      <c r="C171" s="148"/>
      <c r="D171" s="149"/>
      <c r="E171" s="153"/>
      <c r="F171" s="151"/>
      <c r="G171" s="151">
        <f t="shared" si="24"/>
        <v>0</v>
      </c>
      <c r="I171" s="474"/>
    </row>
    <row r="172" spans="1:11" s="139" customFormat="1" ht="15" customHeight="1">
      <c r="A172" s="154">
        <v>1</v>
      </c>
      <c r="B172" s="155"/>
      <c r="C172" s="148"/>
      <c r="D172" s="149"/>
      <c r="E172" s="153"/>
      <c r="F172" s="151"/>
      <c r="G172" s="151">
        <f t="shared" si="24"/>
        <v>0</v>
      </c>
      <c r="H172" s="474"/>
      <c r="I172" s="454"/>
    </row>
    <row r="173" spans="1:11" s="139" customFormat="1" ht="15" customHeight="1">
      <c r="A173" s="154">
        <v>2</v>
      </c>
      <c r="B173" s="155"/>
      <c r="C173" s="148"/>
      <c r="D173" s="149"/>
      <c r="E173" s="153"/>
      <c r="F173" s="151"/>
      <c r="G173" s="151">
        <f t="shared" si="24"/>
        <v>0</v>
      </c>
    </row>
    <row r="174" spans="1:11" s="139" customFormat="1" ht="15" customHeight="1">
      <c r="A174" s="147"/>
      <c r="B174" s="131"/>
      <c r="C174" s="148"/>
      <c r="D174" s="149"/>
      <c r="E174" s="153"/>
      <c r="F174" s="186"/>
      <c r="G174" s="151">
        <f t="shared" si="24"/>
        <v>0</v>
      </c>
      <c r="I174" s="454"/>
    </row>
    <row r="175" spans="1:11" s="168" customFormat="1" ht="15" customHeight="1">
      <c r="A175" s="161"/>
      <c r="B175" s="162"/>
      <c r="C175" s="163"/>
      <c r="D175" s="164"/>
      <c r="E175" s="165"/>
      <c r="F175" s="166"/>
      <c r="G175" s="167">
        <f>SUM(G161:G174)</f>
        <v>116335521.13513514</v>
      </c>
    </row>
    <row r="176" spans="1:11" s="146" customFormat="1" ht="15" customHeight="1">
      <c r="A176" s="140" t="s">
        <v>79</v>
      </c>
      <c r="B176" s="141" t="s">
        <v>80</v>
      </c>
      <c r="C176" s="142"/>
      <c r="D176" s="143"/>
      <c r="E176" s="144"/>
      <c r="F176" s="145"/>
      <c r="G176" s="145"/>
    </row>
    <row r="177" spans="1:9" s="139" customFormat="1" ht="15" customHeight="1">
      <c r="A177" s="147">
        <v>1</v>
      </c>
      <c r="B177" s="131" t="s">
        <v>312</v>
      </c>
      <c r="C177" s="148" t="s">
        <v>311</v>
      </c>
      <c r="D177" s="149" t="s">
        <v>40</v>
      </c>
      <c r="E177" s="177"/>
      <c r="F177" s="151"/>
      <c r="G177" s="151">
        <f>E177*F177</f>
        <v>0</v>
      </c>
    </row>
    <row r="178" spans="1:9" s="139" customFormat="1" ht="15" customHeight="1">
      <c r="A178" s="147"/>
      <c r="B178" s="131" t="s">
        <v>287</v>
      </c>
      <c r="C178" s="169"/>
      <c r="D178" s="149" t="s">
        <v>289</v>
      </c>
      <c r="E178" s="165">
        <f>(128.31*42.67+76.64)*0+128.31*256/12+76.64</f>
        <v>2813.92</v>
      </c>
      <c r="F178" s="151">
        <f>24000+7000</f>
        <v>31000</v>
      </c>
      <c r="G178" s="151">
        <f t="shared" ref="G178:G184" si="29">E178*F178</f>
        <v>87231520</v>
      </c>
      <c r="H178" s="160"/>
      <c r="I178" s="454"/>
    </row>
    <row r="179" spans="1:9" s="139" customFormat="1" ht="15" customHeight="1">
      <c r="A179" s="147"/>
      <c r="B179" s="131" t="s">
        <v>288</v>
      </c>
      <c r="C179" s="169"/>
      <c r="D179" s="149" t="s">
        <v>289</v>
      </c>
      <c r="E179" s="153">
        <f>72*37+50</f>
        <v>2714</v>
      </c>
      <c r="F179" s="151">
        <f>F178</f>
        <v>31000</v>
      </c>
      <c r="G179" s="151">
        <f t="shared" si="29"/>
        <v>84134000</v>
      </c>
    </row>
    <row r="180" spans="1:9" s="139" customFormat="1" ht="15" customHeight="1">
      <c r="A180" s="147"/>
      <c r="B180" s="131" t="s">
        <v>283</v>
      </c>
      <c r="C180" s="169"/>
      <c r="D180" s="149" t="s">
        <v>289</v>
      </c>
      <c r="E180" s="165">
        <f>32*14.05*0+32*56.2/6</f>
        <v>299.73333333333335</v>
      </c>
      <c r="F180" s="151">
        <f>F179</f>
        <v>31000</v>
      </c>
      <c r="G180" s="151">
        <f t="shared" si="29"/>
        <v>9291733.333333334</v>
      </c>
      <c r="H180" s="139">
        <f>56.2/6</f>
        <v>9.3666666666666671</v>
      </c>
    </row>
    <row r="181" spans="1:9" s="139" customFormat="1" ht="15" customHeight="1">
      <c r="A181" s="147"/>
      <c r="B181" s="131" t="s">
        <v>284</v>
      </c>
      <c r="C181" s="169"/>
      <c r="D181" s="149" t="s">
        <v>289</v>
      </c>
      <c r="E181" s="153">
        <v>74.900000000000006</v>
      </c>
      <c r="F181" s="151">
        <f>F180</f>
        <v>31000</v>
      </c>
      <c r="G181" s="151">
        <f t="shared" si="29"/>
        <v>2321900</v>
      </c>
    </row>
    <row r="182" spans="1:9" s="139" customFormat="1" ht="15" customHeight="1">
      <c r="A182" s="147"/>
      <c r="B182" s="131" t="s">
        <v>285</v>
      </c>
      <c r="C182" s="169"/>
      <c r="D182" s="149" t="s">
        <v>289</v>
      </c>
      <c r="E182" s="153">
        <f>439*5</f>
        <v>2195</v>
      </c>
      <c r="F182" s="151">
        <f>F181</f>
        <v>31000</v>
      </c>
      <c r="G182" s="151">
        <f t="shared" si="29"/>
        <v>68045000</v>
      </c>
      <c r="H182" s="160"/>
    </row>
    <row r="183" spans="1:9" s="139" customFormat="1" ht="15" customHeight="1">
      <c r="A183" s="147"/>
      <c r="B183" s="131" t="s">
        <v>286</v>
      </c>
      <c r="C183" s="169"/>
      <c r="D183" s="149" t="s">
        <v>289</v>
      </c>
      <c r="E183" s="153">
        <v>64.2</v>
      </c>
      <c r="F183" s="151">
        <f>F182</f>
        <v>31000</v>
      </c>
      <c r="G183" s="151">
        <f t="shared" si="29"/>
        <v>1990200</v>
      </c>
    </row>
    <row r="184" spans="1:9" s="139" customFormat="1" ht="15" customHeight="1">
      <c r="A184" s="147"/>
      <c r="B184" s="131" t="s">
        <v>292</v>
      </c>
      <c r="C184" s="169"/>
      <c r="D184" s="149" t="s">
        <v>23</v>
      </c>
      <c r="E184" s="153">
        <f>29.5*2</f>
        <v>59</v>
      </c>
      <c r="F184" s="151">
        <f>80000+140000</f>
        <v>220000</v>
      </c>
      <c r="G184" s="151">
        <f t="shared" si="29"/>
        <v>12980000</v>
      </c>
    </row>
    <row r="185" spans="1:9" s="139" customFormat="1" ht="11.4">
      <c r="A185" s="147">
        <f>1+A177</f>
        <v>2</v>
      </c>
      <c r="B185" s="131" t="s">
        <v>314</v>
      </c>
      <c r="C185" s="182" t="s">
        <v>315</v>
      </c>
      <c r="D185" s="149" t="s">
        <v>23</v>
      </c>
      <c r="E185" s="177">
        <v>0</v>
      </c>
      <c r="F185" s="151">
        <v>0</v>
      </c>
      <c r="G185" s="151">
        <f t="shared" ref="G185:G193" si="30">E185*F185</f>
        <v>0</v>
      </c>
    </row>
    <row r="186" spans="1:9" s="139" customFormat="1" ht="15" customHeight="1">
      <c r="A186" s="147">
        <f>A185+1</f>
        <v>3</v>
      </c>
      <c r="B186" s="132" t="s">
        <v>316</v>
      </c>
      <c r="C186" s="148" t="s">
        <v>81</v>
      </c>
      <c r="D186" s="149" t="s">
        <v>40</v>
      </c>
      <c r="E186" s="177">
        <f>18.1*6.5-3*1.6</f>
        <v>112.85000000000001</v>
      </c>
      <c r="F186" s="151">
        <f>Analisa!F165+712000/20+15000</f>
        <v>115600</v>
      </c>
      <c r="G186" s="151">
        <f t="shared" si="30"/>
        <v>13045460.000000002</v>
      </c>
    </row>
    <row r="187" spans="1:9" s="139" customFormat="1" ht="15" customHeight="1">
      <c r="A187" s="147">
        <f t="shared" ref="A187:A188" si="31">A186+1</f>
        <v>4</v>
      </c>
      <c r="B187" s="131" t="s">
        <v>317</v>
      </c>
      <c r="C187" s="148" t="s">
        <v>81</v>
      </c>
      <c r="D187" s="149" t="s">
        <v>40</v>
      </c>
      <c r="E187" s="177">
        <f>27.3*2</f>
        <v>54.6</v>
      </c>
      <c r="F187" s="151">
        <f>F124</f>
        <v>65000</v>
      </c>
      <c r="G187" s="151">
        <f t="shared" si="30"/>
        <v>3549000</v>
      </c>
    </row>
    <row r="188" spans="1:9" s="139" customFormat="1" ht="15" customHeight="1">
      <c r="A188" s="147">
        <f t="shared" si="31"/>
        <v>5</v>
      </c>
      <c r="B188" s="170" t="s">
        <v>82</v>
      </c>
      <c r="C188" s="148" t="s">
        <v>313</v>
      </c>
      <c r="D188" s="149" t="s">
        <v>40</v>
      </c>
      <c r="E188" s="153">
        <f>8.85*29</f>
        <v>256.64999999999998</v>
      </c>
      <c r="F188" s="151">
        <f>99000*1.1+25000+7500</f>
        <v>141400</v>
      </c>
      <c r="G188" s="151">
        <f t="shared" si="30"/>
        <v>36290310</v>
      </c>
    </row>
    <row r="189" spans="1:9" s="139" customFormat="1" ht="15" customHeight="1">
      <c r="A189" s="147"/>
      <c r="B189" s="170"/>
      <c r="C189" s="148"/>
      <c r="D189" s="149"/>
      <c r="E189" s="153"/>
      <c r="F189" s="151"/>
      <c r="G189" s="151">
        <f t="shared" si="30"/>
        <v>0</v>
      </c>
    </row>
    <row r="190" spans="1:9" s="139" customFormat="1" ht="15" customHeight="1">
      <c r="A190" s="154"/>
      <c r="B190" s="155" t="s">
        <v>29</v>
      </c>
      <c r="C190" s="148"/>
      <c r="D190" s="149"/>
      <c r="E190" s="153"/>
      <c r="F190" s="151"/>
      <c r="G190" s="151">
        <f t="shared" si="30"/>
        <v>0</v>
      </c>
    </row>
    <row r="191" spans="1:9" s="160" customFormat="1" ht="15" customHeight="1">
      <c r="A191" s="154">
        <v>1</v>
      </c>
      <c r="B191" s="155" t="s">
        <v>588</v>
      </c>
      <c r="C191" s="156"/>
      <c r="D191" s="149" t="s">
        <v>128</v>
      </c>
      <c r="E191" s="158">
        <f>10*6+4*4</f>
        <v>76</v>
      </c>
      <c r="F191" s="159">
        <f>240000</f>
        <v>240000</v>
      </c>
      <c r="G191" s="151">
        <f t="shared" si="30"/>
        <v>18240000</v>
      </c>
    </row>
    <row r="192" spans="1:9" s="139" customFormat="1" ht="15" customHeight="1">
      <c r="A192" s="154">
        <v>2</v>
      </c>
      <c r="B192" s="155" t="s">
        <v>554</v>
      </c>
      <c r="C192" s="156"/>
      <c r="D192" s="149" t="s">
        <v>40</v>
      </c>
      <c r="E192" s="158">
        <f>10.5*0.8</f>
        <v>8.4</v>
      </c>
      <c r="F192" s="159">
        <v>1200000</v>
      </c>
      <c r="G192" s="151">
        <f t="shared" si="30"/>
        <v>10080000</v>
      </c>
    </row>
    <row r="193" spans="1:7" s="139" customFormat="1" ht="15" customHeight="1">
      <c r="A193" s="147"/>
      <c r="B193" s="131"/>
      <c r="C193" s="148"/>
      <c r="D193" s="149"/>
      <c r="E193" s="153"/>
      <c r="F193" s="151"/>
      <c r="G193" s="151">
        <f t="shared" si="30"/>
        <v>0</v>
      </c>
    </row>
    <row r="194" spans="1:7" s="168" customFormat="1" ht="15" customHeight="1">
      <c r="A194" s="161"/>
      <c r="B194" s="162"/>
      <c r="C194" s="163"/>
      <c r="D194" s="164"/>
      <c r="E194" s="165"/>
      <c r="F194" s="166"/>
      <c r="G194" s="167">
        <f>SUM(G177:G193)</f>
        <v>347199123.33333337</v>
      </c>
    </row>
    <row r="195" spans="1:7" s="146" customFormat="1" ht="15" customHeight="1">
      <c r="A195" s="140" t="s">
        <v>83</v>
      </c>
      <c r="B195" s="141" t="s">
        <v>84</v>
      </c>
      <c r="C195" s="142"/>
      <c r="D195" s="143"/>
      <c r="E195" s="144"/>
      <c r="F195" s="145"/>
      <c r="G195" s="145"/>
    </row>
    <row r="196" spans="1:7" s="139" customFormat="1" ht="15" customHeight="1">
      <c r="A196" s="147">
        <v>1</v>
      </c>
      <c r="B196" s="169" t="s">
        <v>85</v>
      </c>
      <c r="C196" s="148"/>
      <c r="D196" s="149"/>
      <c r="E196" s="183"/>
      <c r="F196" s="151"/>
      <c r="G196" s="151"/>
    </row>
    <row r="197" spans="1:7" s="139" customFormat="1" ht="15" customHeight="1">
      <c r="A197" s="147"/>
      <c r="B197" s="169" t="s">
        <v>86</v>
      </c>
      <c r="C197" s="182" t="s">
        <v>319</v>
      </c>
      <c r="D197" s="149" t="s">
        <v>40</v>
      </c>
      <c r="E197" s="153">
        <f>9*4.5</f>
        <v>40.5</v>
      </c>
      <c r="F197" s="151">
        <f>Analisa!F173</f>
        <v>47055.803571428565</v>
      </c>
      <c r="G197" s="151">
        <f t="shared" ref="G197:G205" si="32">E197*F197</f>
        <v>1905760.0446428568</v>
      </c>
    </row>
    <row r="198" spans="1:7" s="139" customFormat="1" ht="15" customHeight="1">
      <c r="A198" s="147"/>
      <c r="B198" s="169" t="s">
        <v>87</v>
      </c>
      <c r="C198" s="182" t="s">
        <v>319</v>
      </c>
      <c r="D198" s="149" t="s">
        <v>40</v>
      </c>
      <c r="E198" s="183">
        <f>E151</f>
        <v>166.16</v>
      </c>
      <c r="F198" s="151">
        <f>Analisa!F173</f>
        <v>47055.803571428565</v>
      </c>
      <c r="G198" s="151">
        <f t="shared" si="32"/>
        <v>7818792.32142857</v>
      </c>
    </row>
    <row r="199" spans="1:7" s="139" customFormat="1" ht="15" customHeight="1">
      <c r="A199" s="147">
        <f>A196+1</f>
        <v>2</v>
      </c>
      <c r="B199" s="169" t="s">
        <v>88</v>
      </c>
      <c r="C199" s="148"/>
      <c r="D199" s="149"/>
      <c r="E199" s="153"/>
      <c r="F199" s="151"/>
      <c r="G199" s="151">
        <f t="shared" si="32"/>
        <v>0</v>
      </c>
    </row>
    <row r="200" spans="1:7" s="139" customFormat="1" ht="15" customHeight="1">
      <c r="A200" s="147"/>
      <c r="B200" s="169" t="s">
        <v>89</v>
      </c>
      <c r="C200" s="182" t="s">
        <v>319</v>
      </c>
      <c r="D200" s="149" t="s">
        <v>40</v>
      </c>
      <c r="E200" s="183">
        <f>22*4.5+6*2.8-1*2.8*2-0.8*2*2</f>
        <v>107</v>
      </c>
      <c r="F200" s="151">
        <f>Analisa!F189</f>
        <v>47055.803571428565</v>
      </c>
      <c r="G200" s="151">
        <f t="shared" si="32"/>
        <v>5034970.9821428563</v>
      </c>
    </row>
    <row r="201" spans="1:7" s="139" customFormat="1" ht="15" customHeight="1">
      <c r="A201" s="147"/>
      <c r="B201" s="169" t="s">
        <v>90</v>
      </c>
      <c r="C201" s="182" t="s">
        <v>319</v>
      </c>
      <c r="D201" s="149" t="s">
        <v>40</v>
      </c>
      <c r="E201" s="153">
        <f>E150</f>
        <v>209.48</v>
      </c>
      <c r="F201" s="151">
        <f>Analisa!F181</f>
        <v>47055.803571428565</v>
      </c>
      <c r="G201" s="151">
        <f t="shared" si="32"/>
        <v>9857249.7321428545</v>
      </c>
    </row>
    <row r="202" spans="1:7" s="139" customFormat="1" ht="15" customHeight="1">
      <c r="A202" s="147"/>
      <c r="B202" s="131"/>
      <c r="C202" s="148"/>
      <c r="D202" s="149"/>
      <c r="E202" s="177"/>
      <c r="F202" s="151"/>
      <c r="G202" s="151">
        <f t="shared" si="32"/>
        <v>0</v>
      </c>
    </row>
    <row r="203" spans="1:7" s="139" customFormat="1" ht="15" customHeight="1">
      <c r="A203" s="154"/>
      <c r="B203" s="155" t="s">
        <v>29</v>
      </c>
      <c r="C203" s="148"/>
      <c r="D203" s="149"/>
      <c r="E203" s="153"/>
      <c r="F203" s="151"/>
      <c r="G203" s="151">
        <f t="shared" si="32"/>
        <v>0</v>
      </c>
    </row>
    <row r="204" spans="1:7" s="139" customFormat="1" ht="15" customHeight="1">
      <c r="A204" s="154">
        <v>1</v>
      </c>
      <c r="B204" s="155"/>
      <c r="C204" s="148"/>
      <c r="D204" s="149"/>
      <c r="E204" s="153"/>
      <c r="F204" s="151"/>
      <c r="G204" s="151">
        <f t="shared" si="32"/>
        <v>0</v>
      </c>
    </row>
    <row r="205" spans="1:7" s="139" customFormat="1" ht="15" customHeight="1">
      <c r="A205" s="154">
        <f>1+A204</f>
        <v>2</v>
      </c>
      <c r="B205" s="155"/>
      <c r="C205" s="148"/>
      <c r="D205" s="149"/>
      <c r="E205" s="153"/>
      <c r="F205" s="151"/>
      <c r="G205" s="151">
        <f t="shared" si="32"/>
        <v>0</v>
      </c>
    </row>
    <row r="206" spans="1:7" s="139" customFormat="1" ht="15" customHeight="1">
      <c r="A206" s="154"/>
      <c r="B206" s="131"/>
      <c r="C206" s="148"/>
      <c r="D206" s="149"/>
      <c r="E206" s="187"/>
      <c r="F206" s="185"/>
      <c r="G206" s="151"/>
    </row>
    <row r="207" spans="1:7" s="168" customFormat="1" ht="15" customHeight="1">
      <c r="A207" s="161"/>
      <c r="B207" s="162"/>
      <c r="C207" s="163"/>
      <c r="D207" s="164"/>
      <c r="E207" s="165"/>
      <c r="F207" s="166"/>
      <c r="G207" s="167">
        <f>SUM(G197:G206)</f>
        <v>24616773.080357138</v>
      </c>
    </row>
    <row r="208" spans="1:7" s="146" customFormat="1" ht="15" customHeight="1">
      <c r="A208" s="140" t="s">
        <v>91</v>
      </c>
      <c r="B208" s="141" t="s">
        <v>92</v>
      </c>
      <c r="C208" s="142"/>
      <c r="D208" s="143"/>
      <c r="E208" s="144"/>
      <c r="F208" s="145"/>
      <c r="G208" s="145"/>
    </row>
    <row r="209" spans="1:7" s="139" customFormat="1" ht="15" customHeight="1">
      <c r="A209" s="147">
        <v>1</v>
      </c>
      <c r="B209" s="131" t="s">
        <v>93</v>
      </c>
      <c r="C209" s="148" t="s">
        <v>94</v>
      </c>
      <c r="D209" s="149" t="s">
        <v>23</v>
      </c>
      <c r="E209" s="153">
        <f>59</f>
        <v>59</v>
      </c>
      <c r="F209" s="151">
        <f>386200*0.85/4+62500+15500</f>
        <v>160067.5</v>
      </c>
      <c r="G209" s="151">
        <f t="shared" ref="G209:G220" si="33">E209*F209</f>
        <v>9443982.5</v>
      </c>
    </row>
    <row r="210" spans="1:7" s="139" customFormat="1" ht="15" customHeight="1">
      <c r="A210" s="147">
        <f>A209+1</f>
        <v>2</v>
      </c>
      <c r="B210" s="131" t="s">
        <v>95</v>
      </c>
      <c r="C210" s="148" t="s">
        <v>94</v>
      </c>
      <c r="D210" s="149" t="s">
        <v>23</v>
      </c>
      <c r="E210" s="177">
        <v>133</v>
      </c>
      <c r="F210" s="151">
        <f>221700*0.85/4+32500+7500</f>
        <v>87111.25</v>
      </c>
      <c r="G210" s="151">
        <f t="shared" si="33"/>
        <v>11585796.25</v>
      </c>
    </row>
    <row r="211" spans="1:7" s="139" customFormat="1" ht="15" customHeight="1">
      <c r="A211" s="147">
        <f t="shared" ref="A211:A220" si="34">A210+1</f>
        <v>3</v>
      </c>
      <c r="B211" s="131" t="s">
        <v>96</v>
      </c>
      <c r="C211" s="148" t="s">
        <v>94</v>
      </c>
      <c r="D211" s="149" t="s">
        <v>23</v>
      </c>
      <c r="E211" s="177">
        <v>20</v>
      </c>
      <c r="F211" s="151">
        <f>141000*0.85/4+30000+7500</f>
        <v>67462.5</v>
      </c>
      <c r="G211" s="151">
        <f t="shared" si="33"/>
        <v>1349250</v>
      </c>
    </row>
    <row r="212" spans="1:7" s="139" customFormat="1" ht="15" customHeight="1">
      <c r="A212" s="147">
        <f t="shared" si="34"/>
        <v>4</v>
      </c>
      <c r="B212" s="131" t="s">
        <v>97</v>
      </c>
      <c r="C212" s="148" t="s">
        <v>94</v>
      </c>
      <c r="D212" s="149" t="s">
        <v>23</v>
      </c>
      <c r="E212" s="177">
        <f>66+16</f>
        <v>82</v>
      </c>
      <c r="F212" s="151">
        <f>106200*0.85/4+24500+7500</f>
        <v>54567.5</v>
      </c>
      <c r="G212" s="151">
        <f t="shared" si="33"/>
        <v>4474535</v>
      </c>
    </row>
    <row r="213" spans="1:7" s="139" customFormat="1" ht="15" customHeight="1">
      <c r="A213" s="147">
        <f t="shared" si="34"/>
        <v>5</v>
      </c>
      <c r="B213" s="131" t="s">
        <v>98</v>
      </c>
      <c r="C213" s="148" t="s">
        <v>94</v>
      </c>
      <c r="D213" s="149" t="s">
        <v>23</v>
      </c>
      <c r="E213" s="174">
        <v>0</v>
      </c>
      <c r="F213" s="151">
        <v>0</v>
      </c>
      <c r="G213" s="151">
        <f t="shared" si="33"/>
        <v>0</v>
      </c>
    </row>
    <row r="214" spans="1:7" s="139" customFormat="1" ht="15" customHeight="1">
      <c r="A214" s="147">
        <f t="shared" si="34"/>
        <v>6</v>
      </c>
      <c r="B214" s="131" t="s">
        <v>99</v>
      </c>
      <c r="C214" s="148"/>
      <c r="D214" s="149" t="s">
        <v>23</v>
      </c>
      <c r="E214" s="177">
        <v>8</v>
      </c>
      <c r="F214" s="151">
        <f>(54300+500)*0.85/4+21500</f>
        <v>33145</v>
      </c>
      <c r="G214" s="151">
        <f t="shared" si="33"/>
        <v>265160</v>
      </c>
    </row>
    <row r="215" spans="1:7" s="139" customFormat="1" ht="15" customHeight="1">
      <c r="A215" s="147">
        <f t="shared" si="34"/>
        <v>7</v>
      </c>
      <c r="B215" s="131" t="s">
        <v>100</v>
      </c>
      <c r="C215" s="148" t="s">
        <v>101</v>
      </c>
      <c r="D215" s="149" t="s">
        <v>23</v>
      </c>
      <c r="E215" s="177">
        <v>45</v>
      </c>
      <c r="F215" s="151">
        <v>42500</v>
      </c>
      <c r="G215" s="151">
        <f t="shared" si="33"/>
        <v>1912500</v>
      </c>
    </row>
    <row r="216" spans="1:7" s="139" customFormat="1" ht="15" customHeight="1">
      <c r="A216" s="147">
        <f t="shared" si="34"/>
        <v>8</v>
      </c>
      <c r="B216" s="131" t="s">
        <v>102</v>
      </c>
      <c r="C216" s="148" t="s">
        <v>101</v>
      </c>
      <c r="D216" s="149" t="s">
        <v>23</v>
      </c>
      <c r="E216" s="177">
        <v>55</v>
      </c>
      <c r="F216" s="151">
        <v>37500</v>
      </c>
      <c r="G216" s="151">
        <f t="shared" si="33"/>
        <v>2062500</v>
      </c>
    </row>
    <row r="217" spans="1:7" s="139" customFormat="1" ht="15" customHeight="1">
      <c r="A217" s="147">
        <f t="shared" si="34"/>
        <v>9</v>
      </c>
      <c r="B217" s="131" t="s">
        <v>103</v>
      </c>
      <c r="C217" s="148" t="s">
        <v>104</v>
      </c>
      <c r="D217" s="149" t="s">
        <v>23</v>
      </c>
      <c r="E217" s="177">
        <v>0</v>
      </c>
      <c r="F217" s="151">
        <v>0</v>
      </c>
      <c r="G217" s="151">
        <f t="shared" si="33"/>
        <v>0</v>
      </c>
    </row>
    <row r="218" spans="1:7" s="139" customFormat="1" ht="15" customHeight="1">
      <c r="A218" s="147">
        <f t="shared" si="34"/>
        <v>10</v>
      </c>
      <c r="B218" s="131" t="s">
        <v>105</v>
      </c>
      <c r="C218" s="148" t="s">
        <v>106</v>
      </c>
      <c r="D218" s="149" t="s">
        <v>21</v>
      </c>
      <c r="E218" s="174">
        <v>4</v>
      </c>
      <c r="F218" s="188">
        <f>465000+150000</f>
        <v>615000</v>
      </c>
      <c r="G218" s="151">
        <f t="shared" si="33"/>
        <v>2460000</v>
      </c>
    </row>
    <row r="219" spans="1:7" s="139" customFormat="1" ht="15" customHeight="1">
      <c r="A219" s="147">
        <f t="shared" si="34"/>
        <v>11</v>
      </c>
      <c r="B219" s="131" t="s">
        <v>321</v>
      </c>
      <c r="C219" s="148" t="s">
        <v>106</v>
      </c>
      <c r="D219" s="149" t="s">
        <v>21</v>
      </c>
      <c r="E219" s="174">
        <v>1</v>
      </c>
      <c r="F219" s="151">
        <f>2686200/1.11+250000</f>
        <v>2670000</v>
      </c>
      <c r="G219" s="151">
        <f t="shared" si="33"/>
        <v>2670000</v>
      </c>
    </row>
    <row r="220" spans="1:7" s="139" customFormat="1" ht="15" customHeight="1">
      <c r="A220" s="147">
        <f t="shared" si="34"/>
        <v>12</v>
      </c>
      <c r="B220" s="131" t="s">
        <v>216</v>
      </c>
      <c r="C220" s="148"/>
      <c r="D220" s="149" t="s">
        <v>21</v>
      </c>
      <c r="E220" s="174">
        <v>12</v>
      </c>
      <c r="F220" s="151">
        <v>95000</v>
      </c>
      <c r="G220" s="151">
        <f t="shared" si="33"/>
        <v>1140000</v>
      </c>
    </row>
    <row r="221" spans="1:7" s="139" customFormat="1" ht="15" customHeight="1">
      <c r="A221" s="147"/>
      <c r="B221" s="131"/>
      <c r="C221" s="148"/>
      <c r="D221" s="149"/>
      <c r="E221" s="174"/>
      <c r="F221" s="151"/>
      <c r="G221" s="151"/>
    </row>
    <row r="222" spans="1:7" s="139" customFormat="1" ht="15" customHeight="1">
      <c r="A222" s="147"/>
      <c r="B222" s="189" t="s">
        <v>322</v>
      </c>
      <c r="C222" s="190"/>
      <c r="D222" s="149"/>
      <c r="E222" s="153"/>
      <c r="F222" s="151"/>
      <c r="G222" s="151"/>
    </row>
    <row r="223" spans="1:7" s="139" customFormat="1" ht="15" customHeight="1">
      <c r="A223" s="147">
        <v>1</v>
      </c>
      <c r="B223" s="131" t="s">
        <v>107</v>
      </c>
      <c r="C223" s="190" t="s">
        <v>108</v>
      </c>
      <c r="D223" s="149" t="s">
        <v>21</v>
      </c>
      <c r="E223" s="153">
        <v>2</v>
      </c>
      <c r="F223" s="186">
        <f>3750000*0.55+150000</f>
        <v>2212500</v>
      </c>
      <c r="G223" s="151">
        <f t="shared" ref="G223:G243" si="35">E223*F223</f>
        <v>4425000</v>
      </c>
    </row>
    <row r="224" spans="1:7" s="139" customFormat="1" ht="15" customHeight="1">
      <c r="A224" s="147">
        <f t="shared" ref="A224:A233" si="36">A223+1</f>
        <v>2</v>
      </c>
      <c r="B224" s="131" t="s">
        <v>109</v>
      </c>
      <c r="C224" s="148" t="s">
        <v>323</v>
      </c>
      <c r="D224" s="149" t="s">
        <v>21</v>
      </c>
      <c r="E224" s="153">
        <v>2</v>
      </c>
      <c r="F224" s="186">
        <f>474000*0.55+25000</f>
        <v>285700</v>
      </c>
      <c r="G224" s="151">
        <f t="shared" si="35"/>
        <v>571400</v>
      </c>
    </row>
    <row r="225" spans="1:8" s="139" customFormat="1" ht="15" customHeight="1">
      <c r="A225" s="147">
        <f t="shared" si="36"/>
        <v>3</v>
      </c>
      <c r="B225" s="131" t="s">
        <v>110</v>
      </c>
      <c r="C225" s="148" t="s">
        <v>324</v>
      </c>
      <c r="D225" s="149" t="s">
        <v>21</v>
      </c>
      <c r="E225" s="153">
        <v>2</v>
      </c>
      <c r="F225" s="186">
        <f>753000*0.55+100000</f>
        <v>514150.00000000006</v>
      </c>
      <c r="G225" s="151">
        <f t="shared" si="35"/>
        <v>1028300.0000000001</v>
      </c>
    </row>
    <row r="226" spans="1:8" s="139" customFormat="1" ht="15" customHeight="1">
      <c r="A226" s="147">
        <f t="shared" si="36"/>
        <v>4</v>
      </c>
      <c r="B226" s="131" t="s">
        <v>111</v>
      </c>
      <c r="C226" s="148" t="s">
        <v>325</v>
      </c>
      <c r="D226" s="149" t="s">
        <v>21</v>
      </c>
      <c r="E226" s="153">
        <v>2</v>
      </c>
      <c r="F226" s="151">
        <f>441000*0.55+50000</f>
        <v>292550</v>
      </c>
      <c r="G226" s="151">
        <f t="shared" si="35"/>
        <v>585100</v>
      </c>
    </row>
    <row r="227" spans="1:8" s="139" customFormat="1" ht="15" customHeight="1">
      <c r="A227" s="147">
        <f t="shared" si="36"/>
        <v>5</v>
      </c>
      <c r="B227" s="131" t="s">
        <v>112</v>
      </c>
      <c r="C227" s="148" t="s">
        <v>113</v>
      </c>
      <c r="D227" s="149" t="s">
        <v>21</v>
      </c>
      <c r="E227" s="165">
        <f>3+1</f>
        <v>4</v>
      </c>
      <c r="F227" s="186">
        <f>2672000*0.55+150000</f>
        <v>1619600.0000000002</v>
      </c>
      <c r="G227" s="151">
        <f t="shared" si="35"/>
        <v>6478400.0000000009</v>
      </c>
    </row>
    <row r="228" spans="1:8" s="139" customFormat="1" ht="15" customHeight="1">
      <c r="A228" s="147">
        <f t="shared" si="36"/>
        <v>6</v>
      </c>
      <c r="B228" s="131" t="s">
        <v>114</v>
      </c>
      <c r="C228" s="148" t="s">
        <v>115</v>
      </c>
      <c r="D228" s="149" t="s">
        <v>21</v>
      </c>
      <c r="E228" s="165">
        <f>3+1</f>
        <v>4</v>
      </c>
      <c r="F228" s="151">
        <f>888000*0.55+25000</f>
        <v>513400.00000000006</v>
      </c>
      <c r="G228" s="151">
        <f t="shared" si="35"/>
        <v>2053600.0000000002</v>
      </c>
      <c r="H228" s="160"/>
    </row>
    <row r="229" spans="1:8" s="139" customFormat="1" ht="15" customHeight="1">
      <c r="A229" s="147">
        <f t="shared" si="36"/>
        <v>7</v>
      </c>
      <c r="B229" s="131" t="s">
        <v>116</v>
      </c>
      <c r="C229" s="148"/>
      <c r="D229" s="149" t="s">
        <v>21</v>
      </c>
      <c r="E229" s="153">
        <v>2</v>
      </c>
      <c r="F229" s="188">
        <v>250000</v>
      </c>
      <c r="G229" s="151">
        <f t="shared" si="35"/>
        <v>500000</v>
      </c>
    </row>
    <row r="230" spans="1:8" s="139" customFormat="1" ht="15" customHeight="1">
      <c r="A230" s="147">
        <f t="shared" si="36"/>
        <v>8</v>
      </c>
      <c r="B230" s="131" t="s">
        <v>117</v>
      </c>
      <c r="C230" s="148" t="s">
        <v>118</v>
      </c>
      <c r="D230" s="149" t="s">
        <v>21</v>
      </c>
      <c r="E230" s="153">
        <v>5</v>
      </c>
      <c r="F230" s="151">
        <f>504000*0.55+50000</f>
        <v>327200</v>
      </c>
      <c r="G230" s="151">
        <f t="shared" si="35"/>
        <v>1636000</v>
      </c>
    </row>
    <row r="231" spans="1:8" s="139" customFormat="1" ht="15" customHeight="1">
      <c r="A231" s="147">
        <f t="shared" si="36"/>
        <v>9</v>
      </c>
      <c r="B231" s="131" t="s">
        <v>119</v>
      </c>
      <c r="C231" s="148" t="s">
        <v>120</v>
      </c>
      <c r="D231" s="149" t="s">
        <v>21</v>
      </c>
      <c r="E231" s="153">
        <v>2</v>
      </c>
      <c r="F231" s="151">
        <f>1.5*1600000</f>
        <v>2400000</v>
      </c>
      <c r="G231" s="151">
        <f t="shared" si="35"/>
        <v>4800000</v>
      </c>
    </row>
    <row r="232" spans="1:8" s="139" customFormat="1" ht="15" customHeight="1">
      <c r="A232" s="147">
        <f t="shared" si="36"/>
        <v>10</v>
      </c>
      <c r="B232" s="131" t="s">
        <v>228</v>
      </c>
      <c r="C232" s="148" t="s">
        <v>229</v>
      </c>
      <c r="D232" s="149" t="s">
        <v>21</v>
      </c>
      <c r="E232" s="153">
        <v>2</v>
      </c>
      <c r="F232" s="151">
        <f>3800000*0.55+150000</f>
        <v>2240000</v>
      </c>
      <c r="G232" s="151">
        <f t="shared" ref="G232:G233" si="37">E232*F232</f>
        <v>4480000</v>
      </c>
    </row>
    <row r="233" spans="1:8" s="139" customFormat="1" ht="15" customHeight="1">
      <c r="A233" s="147">
        <f t="shared" si="36"/>
        <v>11</v>
      </c>
      <c r="B233" s="131" t="s">
        <v>326</v>
      </c>
      <c r="C233" s="148"/>
      <c r="D233" s="149" t="s">
        <v>21</v>
      </c>
      <c r="E233" s="165">
        <f>12*0+2</f>
        <v>2</v>
      </c>
      <c r="F233" s="151">
        <f>350000*0.55+25000</f>
        <v>217500.00000000003</v>
      </c>
      <c r="G233" s="151">
        <f t="shared" si="37"/>
        <v>435000.00000000006</v>
      </c>
    </row>
    <row r="234" spans="1:8" s="139" customFormat="1" ht="15" customHeight="1">
      <c r="A234" s="147"/>
      <c r="B234" s="131"/>
      <c r="C234" s="148"/>
      <c r="D234" s="149"/>
      <c r="E234" s="153"/>
      <c r="F234" s="151"/>
      <c r="G234" s="151">
        <f t="shared" si="35"/>
        <v>0</v>
      </c>
    </row>
    <row r="235" spans="1:8" s="139" customFormat="1" ht="15" customHeight="1">
      <c r="A235" s="154"/>
      <c r="B235" s="155" t="s">
        <v>29</v>
      </c>
      <c r="C235" s="148"/>
      <c r="D235" s="149"/>
      <c r="E235" s="153"/>
      <c r="F235" s="151"/>
      <c r="G235" s="151">
        <f t="shared" si="35"/>
        <v>0</v>
      </c>
    </row>
    <row r="236" spans="1:8" s="139" customFormat="1" ht="15" customHeight="1">
      <c r="A236" s="154">
        <v>1</v>
      </c>
      <c r="B236" s="155" t="s">
        <v>578</v>
      </c>
      <c r="C236" s="156"/>
      <c r="D236" s="157" t="s">
        <v>35</v>
      </c>
      <c r="E236" s="516">
        <f>12+1</f>
        <v>13</v>
      </c>
      <c r="F236" s="151">
        <f>F230</f>
        <v>327200</v>
      </c>
      <c r="G236" s="151">
        <f t="shared" si="35"/>
        <v>4253600</v>
      </c>
      <c r="H236" s="160"/>
    </row>
    <row r="237" spans="1:8" s="139" customFormat="1" ht="15" customHeight="1">
      <c r="A237" s="154">
        <v>2</v>
      </c>
      <c r="B237" s="155" t="s">
        <v>591</v>
      </c>
      <c r="C237" s="156"/>
      <c r="D237" s="157" t="s">
        <v>35</v>
      </c>
      <c r="E237" s="158">
        <v>2</v>
      </c>
      <c r="F237" s="151">
        <v>150000</v>
      </c>
      <c r="G237" s="151">
        <f t="shared" si="35"/>
        <v>300000</v>
      </c>
    </row>
    <row r="238" spans="1:8" s="139" customFormat="1" ht="15" customHeight="1">
      <c r="A238" s="154">
        <v>3</v>
      </c>
      <c r="B238" s="155" t="s">
        <v>592</v>
      </c>
      <c r="C238" s="156"/>
      <c r="D238" s="157" t="s">
        <v>35</v>
      </c>
      <c r="E238" s="158">
        <v>16</v>
      </c>
      <c r="F238" s="151">
        <v>40000</v>
      </c>
      <c r="G238" s="151">
        <f t="shared" ref="G238" si="38">E238*F238</f>
        <v>640000</v>
      </c>
    </row>
    <row r="239" spans="1:8" s="139" customFormat="1" ht="15" customHeight="1">
      <c r="A239" s="154">
        <v>4</v>
      </c>
      <c r="B239" s="155" t="s">
        <v>593</v>
      </c>
      <c r="C239" s="156"/>
      <c r="D239" s="157" t="s">
        <v>35</v>
      </c>
      <c r="E239" s="158">
        <v>1</v>
      </c>
      <c r="F239" s="151">
        <v>150000</v>
      </c>
      <c r="G239" s="151">
        <f t="shared" ref="G239" si="39">E239*F239</f>
        <v>150000</v>
      </c>
    </row>
    <row r="240" spans="1:8" s="139" customFormat="1" ht="15" customHeight="1">
      <c r="A240" s="154">
        <v>5</v>
      </c>
      <c r="B240" s="155" t="s">
        <v>594</v>
      </c>
      <c r="C240" s="156"/>
      <c r="D240" s="157" t="s">
        <v>35</v>
      </c>
      <c r="E240" s="158">
        <v>1</v>
      </c>
      <c r="F240" s="151">
        <v>100000</v>
      </c>
      <c r="G240" s="151">
        <f t="shared" ref="G240:G242" si="40">E240*F240</f>
        <v>100000</v>
      </c>
    </row>
    <row r="241" spans="1:7" s="139" customFormat="1" ht="15" customHeight="1">
      <c r="A241" s="154">
        <v>6</v>
      </c>
      <c r="B241" s="155" t="s">
        <v>595</v>
      </c>
      <c r="C241" s="156"/>
      <c r="D241" s="157" t="s">
        <v>35</v>
      </c>
      <c r="E241" s="516">
        <f>1*0</f>
        <v>0</v>
      </c>
      <c r="F241" s="151">
        <f>2750000+500000</f>
        <v>3250000</v>
      </c>
      <c r="G241" s="151">
        <f t="shared" si="40"/>
        <v>0</v>
      </c>
    </row>
    <row r="242" spans="1:7" s="139" customFormat="1" ht="15" customHeight="1">
      <c r="A242" s="154">
        <v>7</v>
      </c>
      <c r="B242" s="155" t="s">
        <v>596</v>
      </c>
      <c r="C242" s="156"/>
      <c r="D242" s="157" t="s">
        <v>35</v>
      </c>
      <c r="E242" s="516">
        <f>1*0</f>
        <v>0</v>
      </c>
      <c r="F242" s="151">
        <f>1250000+250000</f>
        <v>1500000</v>
      </c>
      <c r="G242" s="151">
        <f t="shared" si="40"/>
        <v>0</v>
      </c>
    </row>
    <row r="243" spans="1:7" s="139" customFormat="1" ht="15" customHeight="1">
      <c r="A243" s="147"/>
      <c r="B243" s="131"/>
      <c r="C243" s="148"/>
      <c r="D243" s="149"/>
      <c r="E243" s="153"/>
      <c r="F243" s="151"/>
      <c r="G243" s="151">
        <f t="shared" si="35"/>
        <v>0</v>
      </c>
    </row>
    <row r="244" spans="1:7" s="168" customFormat="1" ht="15" customHeight="1">
      <c r="A244" s="161"/>
      <c r="B244" s="162"/>
      <c r="C244" s="163"/>
      <c r="D244" s="164"/>
      <c r="E244" s="165"/>
      <c r="F244" s="166"/>
      <c r="G244" s="167">
        <f>SUM(G209:G243)</f>
        <v>69800123.75</v>
      </c>
    </row>
    <row r="245" spans="1:7" s="146" customFormat="1" ht="15" customHeight="1">
      <c r="A245" s="140" t="s">
        <v>121</v>
      </c>
      <c r="B245" s="141" t="s">
        <v>122</v>
      </c>
      <c r="C245" s="142"/>
      <c r="D245" s="143"/>
      <c r="E245" s="144"/>
      <c r="F245" s="145"/>
      <c r="G245" s="145"/>
    </row>
    <row r="246" spans="1:7" s="139" customFormat="1" ht="15" customHeight="1">
      <c r="A246" s="147">
        <v>1</v>
      </c>
      <c r="B246" s="131" t="s">
        <v>123</v>
      </c>
      <c r="C246" s="148" t="s">
        <v>124</v>
      </c>
      <c r="D246" s="149" t="s">
        <v>21</v>
      </c>
      <c r="E246" s="174">
        <v>19</v>
      </c>
      <c r="F246" s="151">
        <f>80000+15000</f>
        <v>95000</v>
      </c>
      <c r="G246" s="151">
        <f t="shared" ref="G246:G275" si="41">E246*F246</f>
        <v>1805000</v>
      </c>
    </row>
    <row r="247" spans="1:7" s="139" customFormat="1" ht="15" customHeight="1">
      <c r="A247" s="147">
        <f>A246+1</f>
        <v>2</v>
      </c>
      <c r="B247" s="131" t="s">
        <v>125</v>
      </c>
      <c r="C247" s="148" t="s">
        <v>126</v>
      </c>
      <c r="D247" s="149" t="s">
        <v>21</v>
      </c>
      <c r="E247" s="174">
        <f>E246</f>
        <v>19</v>
      </c>
      <c r="F247" s="151">
        <v>41000</v>
      </c>
      <c r="G247" s="151">
        <f t="shared" si="41"/>
        <v>779000</v>
      </c>
    </row>
    <row r="248" spans="1:7" s="139" customFormat="1" ht="15" customHeight="1">
      <c r="A248" s="147">
        <f>A247+1</f>
        <v>3</v>
      </c>
      <c r="B248" s="131" t="s">
        <v>127</v>
      </c>
      <c r="C248" s="148"/>
      <c r="D248" s="149" t="s">
        <v>128</v>
      </c>
      <c r="E248" s="174">
        <v>19</v>
      </c>
      <c r="F248" s="151">
        <v>185000</v>
      </c>
      <c r="G248" s="151">
        <f t="shared" si="41"/>
        <v>3515000</v>
      </c>
    </row>
    <row r="249" spans="1:7" s="139" customFormat="1" ht="15" customHeight="1">
      <c r="A249" s="147">
        <f t="shared" ref="A249:A279" si="42">A248+1</f>
        <v>4</v>
      </c>
      <c r="B249" s="131" t="s">
        <v>129</v>
      </c>
      <c r="C249" s="148" t="s">
        <v>124</v>
      </c>
      <c r="D249" s="149" t="s">
        <v>35</v>
      </c>
      <c r="E249" s="174">
        <v>0</v>
      </c>
      <c r="F249" s="151">
        <v>0</v>
      </c>
      <c r="G249" s="151">
        <f t="shared" si="41"/>
        <v>0</v>
      </c>
    </row>
    <row r="250" spans="1:7" s="139" customFormat="1" ht="15" customHeight="1">
      <c r="A250" s="147">
        <f t="shared" si="42"/>
        <v>5</v>
      </c>
      <c r="B250" s="131" t="s">
        <v>130</v>
      </c>
      <c r="C250" s="148"/>
      <c r="D250" s="149" t="s">
        <v>128</v>
      </c>
      <c r="E250" s="174">
        <v>7</v>
      </c>
      <c r="F250" s="151">
        <v>210000</v>
      </c>
      <c r="G250" s="151">
        <f t="shared" si="41"/>
        <v>1470000</v>
      </c>
    </row>
    <row r="251" spans="1:7" s="139" customFormat="1" ht="15" customHeight="1">
      <c r="A251" s="147">
        <f t="shared" si="42"/>
        <v>6</v>
      </c>
      <c r="B251" s="131" t="s">
        <v>131</v>
      </c>
      <c r="C251" s="148"/>
      <c r="D251" s="149" t="s">
        <v>21</v>
      </c>
      <c r="E251" s="174">
        <v>0</v>
      </c>
      <c r="F251" s="151">
        <v>0</v>
      </c>
      <c r="G251" s="151">
        <f t="shared" si="41"/>
        <v>0</v>
      </c>
    </row>
    <row r="252" spans="1:7" s="139" customFormat="1" ht="15" customHeight="1">
      <c r="A252" s="147">
        <f t="shared" si="42"/>
        <v>7</v>
      </c>
      <c r="B252" s="131" t="s">
        <v>132</v>
      </c>
      <c r="C252" s="148"/>
      <c r="D252" s="149" t="s">
        <v>128</v>
      </c>
      <c r="E252" s="174">
        <v>0</v>
      </c>
      <c r="F252" s="151">
        <v>0</v>
      </c>
      <c r="G252" s="151">
        <f t="shared" si="41"/>
        <v>0</v>
      </c>
    </row>
    <row r="253" spans="1:7" s="139" customFormat="1" ht="15" customHeight="1">
      <c r="A253" s="147">
        <f t="shared" si="42"/>
        <v>8</v>
      </c>
      <c r="B253" s="131" t="s">
        <v>133</v>
      </c>
      <c r="C253" s="148"/>
      <c r="D253" s="149" t="s">
        <v>21</v>
      </c>
      <c r="E253" s="174">
        <v>0</v>
      </c>
      <c r="F253" s="151">
        <v>0</v>
      </c>
      <c r="G253" s="151">
        <f t="shared" si="41"/>
        <v>0</v>
      </c>
    </row>
    <row r="254" spans="1:7" s="139" customFormat="1" ht="15" customHeight="1">
      <c r="A254" s="147">
        <f t="shared" si="42"/>
        <v>9</v>
      </c>
      <c r="B254" s="131" t="s">
        <v>134</v>
      </c>
      <c r="C254" s="148"/>
      <c r="D254" s="149" t="s">
        <v>128</v>
      </c>
      <c r="E254" s="174">
        <v>0</v>
      </c>
      <c r="F254" s="151">
        <v>0</v>
      </c>
      <c r="G254" s="151">
        <f t="shared" si="41"/>
        <v>0</v>
      </c>
    </row>
    <row r="255" spans="1:7" s="139" customFormat="1" ht="15" customHeight="1">
      <c r="A255" s="147">
        <f t="shared" si="42"/>
        <v>10</v>
      </c>
      <c r="B255" s="131" t="s">
        <v>135</v>
      </c>
      <c r="C255" s="148"/>
      <c r="D255" s="149" t="s">
        <v>21</v>
      </c>
      <c r="E255" s="174">
        <v>1</v>
      </c>
      <c r="F255" s="151">
        <v>350000</v>
      </c>
      <c r="G255" s="151">
        <f t="shared" si="41"/>
        <v>350000</v>
      </c>
    </row>
    <row r="256" spans="1:7" s="139" customFormat="1" ht="15" customHeight="1">
      <c r="A256" s="147">
        <f t="shared" si="42"/>
        <v>11</v>
      </c>
      <c r="B256" s="175" t="s">
        <v>136</v>
      </c>
      <c r="C256" s="148"/>
      <c r="D256" s="149" t="s">
        <v>21</v>
      </c>
      <c r="E256" s="174">
        <v>0</v>
      </c>
      <c r="F256" s="151">
        <v>0</v>
      </c>
      <c r="G256" s="151">
        <f t="shared" si="41"/>
        <v>0</v>
      </c>
    </row>
    <row r="257" spans="1:7" s="139" customFormat="1" ht="15" customHeight="1">
      <c r="A257" s="147">
        <f t="shared" si="42"/>
        <v>12</v>
      </c>
      <c r="B257" s="175" t="s">
        <v>137</v>
      </c>
      <c r="C257" s="148"/>
      <c r="D257" s="149" t="s">
        <v>21</v>
      </c>
      <c r="E257" s="174">
        <v>5</v>
      </c>
      <c r="F257" s="151">
        <v>75000</v>
      </c>
      <c r="G257" s="151">
        <f t="shared" si="41"/>
        <v>375000</v>
      </c>
    </row>
    <row r="258" spans="1:7" s="139" customFormat="1" ht="15" customHeight="1">
      <c r="A258" s="147">
        <f t="shared" si="42"/>
        <v>13</v>
      </c>
      <c r="B258" s="131" t="s">
        <v>138</v>
      </c>
      <c r="C258" s="148" t="s">
        <v>327</v>
      </c>
      <c r="D258" s="149" t="s">
        <v>21</v>
      </c>
      <c r="E258" s="174">
        <v>5</v>
      </c>
      <c r="F258" s="151">
        <v>62500</v>
      </c>
      <c r="G258" s="151">
        <f t="shared" si="41"/>
        <v>312500</v>
      </c>
    </row>
    <row r="259" spans="1:7" s="139" customFormat="1" ht="15" customHeight="1">
      <c r="A259" s="147">
        <f t="shared" si="42"/>
        <v>14</v>
      </c>
      <c r="B259" s="131" t="s">
        <v>139</v>
      </c>
      <c r="C259" s="148" t="s">
        <v>327</v>
      </c>
      <c r="D259" s="149" t="s">
        <v>21</v>
      </c>
      <c r="E259" s="174">
        <v>9</v>
      </c>
      <c r="F259" s="151">
        <v>82500</v>
      </c>
      <c r="G259" s="151">
        <f t="shared" si="41"/>
        <v>742500</v>
      </c>
    </row>
    <row r="260" spans="1:7" s="139" customFormat="1" ht="15" customHeight="1">
      <c r="A260" s="147">
        <f t="shared" si="42"/>
        <v>15</v>
      </c>
      <c r="B260" s="131" t="s">
        <v>140</v>
      </c>
      <c r="C260" s="148" t="s">
        <v>327</v>
      </c>
      <c r="D260" s="149" t="s">
        <v>21</v>
      </c>
      <c r="E260" s="174">
        <v>0</v>
      </c>
      <c r="F260" s="151">
        <v>0</v>
      </c>
      <c r="G260" s="151">
        <f t="shared" si="41"/>
        <v>0</v>
      </c>
    </row>
    <row r="261" spans="1:7" s="139" customFormat="1" ht="15" customHeight="1">
      <c r="A261" s="147">
        <f t="shared" si="42"/>
        <v>16</v>
      </c>
      <c r="B261" s="131" t="s">
        <v>141</v>
      </c>
      <c r="C261" s="148" t="s">
        <v>327</v>
      </c>
      <c r="D261" s="149" t="s">
        <v>21</v>
      </c>
      <c r="E261" s="174">
        <v>7</v>
      </c>
      <c r="F261" s="151">
        <v>65000</v>
      </c>
      <c r="G261" s="151">
        <f t="shared" si="41"/>
        <v>455000</v>
      </c>
    </row>
    <row r="262" spans="1:7" s="139" customFormat="1" ht="15" customHeight="1">
      <c r="A262" s="147">
        <f t="shared" si="42"/>
        <v>17</v>
      </c>
      <c r="B262" s="131" t="s">
        <v>142</v>
      </c>
      <c r="C262" s="148"/>
      <c r="D262" s="149" t="s">
        <v>128</v>
      </c>
      <c r="E262" s="174">
        <v>7</v>
      </c>
      <c r="F262" s="151">
        <v>185000</v>
      </c>
      <c r="G262" s="151">
        <f t="shared" si="41"/>
        <v>1295000</v>
      </c>
    </row>
    <row r="263" spans="1:7" s="139" customFormat="1" ht="15" customHeight="1">
      <c r="A263" s="147">
        <f t="shared" si="42"/>
        <v>18</v>
      </c>
      <c r="B263" s="131" t="s">
        <v>143</v>
      </c>
      <c r="C263" s="148" t="s">
        <v>327</v>
      </c>
      <c r="D263" s="149" t="s">
        <v>21</v>
      </c>
      <c r="E263" s="174">
        <v>0</v>
      </c>
      <c r="F263" s="151">
        <v>0</v>
      </c>
      <c r="G263" s="151">
        <f t="shared" si="41"/>
        <v>0</v>
      </c>
    </row>
    <row r="264" spans="1:7" s="139" customFormat="1" ht="15" customHeight="1">
      <c r="A264" s="147">
        <f t="shared" si="42"/>
        <v>19</v>
      </c>
      <c r="B264" s="131" t="s">
        <v>144</v>
      </c>
      <c r="C264" s="148" t="s">
        <v>327</v>
      </c>
      <c r="D264" s="149" t="s">
        <v>21</v>
      </c>
      <c r="E264" s="174">
        <v>0</v>
      </c>
      <c r="F264" s="151">
        <v>0</v>
      </c>
      <c r="G264" s="151">
        <f t="shared" si="41"/>
        <v>0</v>
      </c>
    </row>
    <row r="265" spans="1:7" s="139" customFormat="1" ht="15" customHeight="1">
      <c r="A265" s="147">
        <f t="shared" si="42"/>
        <v>20</v>
      </c>
      <c r="B265" s="181" t="s">
        <v>145</v>
      </c>
      <c r="C265" s="148" t="s">
        <v>146</v>
      </c>
      <c r="D265" s="149" t="s">
        <v>23</v>
      </c>
      <c r="E265" s="174">
        <v>11</v>
      </c>
      <c r="F265" s="151">
        <v>79000</v>
      </c>
      <c r="G265" s="151">
        <f t="shared" si="41"/>
        <v>869000</v>
      </c>
    </row>
    <row r="266" spans="1:7" s="139" customFormat="1" ht="15" customHeight="1">
      <c r="A266" s="147">
        <f t="shared" si="42"/>
        <v>21</v>
      </c>
      <c r="B266" s="131" t="s">
        <v>147</v>
      </c>
      <c r="C266" s="148"/>
      <c r="D266" s="149" t="s">
        <v>128</v>
      </c>
      <c r="E266" s="174">
        <v>0</v>
      </c>
      <c r="F266" s="151">
        <v>0</v>
      </c>
      <c r="G266" s="151">
        <f t="shared" si="41"/>
        <v>0</v>
      </c>
    </row>
    <row r="267" spans="1:7" s="139" customFormat="1" ht="15" customHeight="1">
      <c r="A267" s="147">
        <f t="shared" si="42"/>
        <v>22</v>
      </c>
      <c r="B267" s="131" t="s">
        <v>148</v>
      </c>
      <c r="C267" s="148"/>
      <c r="D267" s="149" t="s">
        <v>128</v>
      </c>
      <c r="E267" s="174">
        <v>0</v>
      </c>
      <c r="F267" s="151">
        <v>0</v>
      </c>
      <c r="G267" s="151">
        <f t="shared" si="41"/>
        <v>0</v>
      </c>
    </row>
    <row r="268" spans="1:7" s="139" customFormat="1" ht="15" customHeight="1">
      <c r="A268" s="147">
        <f t="shared" si="42"/>
        <v>23</v>
      </c>
      <c r="B268" s="131" t="s">
        <v>149</v>
      </c>
      <c r="C268" s="148"/>
      <c r="D268" s="149" t="s">
        <v>128</v>
      </c>
      <c r="E268" s="174">
        <v>0</v>
      </c>
      <c r="F268" s="151">
        <v>0</v>
      </c>
      <c r="G268" s="151">
        <f t="shared" si="41"/>
        <v>0</v>
      </c>
    </row>
    <row r="269" spans="1:7" s="139" customFormat="1" ht="15" customHeight="1">
      <c r="A269" s="147">
        <f t="shared" si="42"/>
        <v>24</v>
      </c>
      <c r="B269" s="131" t="s">
        <v>150</v>
      </c>
      <c r="C269" s="148"/>
      <c r="D269" s="149" t="s">
        <v>25</v>
      </c>
      <c r="E269" s="174">
        <v>1</v>
      </c>
      <c r="F269" s="151">
        <v>210000</v>
      </c>
      <c r="G269" s="151">
        <f t="shared" si="41"/>
        <v>210000</v>
      </c>
    </row>
    <row r="270" spans="1:7" s="139" customFormat="1" ht="15" customHeight="1">
      <c r="A270" s="147">
        <f t="shared" si="42"/>
        <v>25</v>
      </c>
      <c r="B270" s="131" t="s">
        <v>151</v>
      </c>
      <c r="C270" s="148"/>
      <c r="D270" s="149" t="s">
        <v>21</v>
      </c>
      <c r="E270" s="174">
        <v>5</v>
      </c>
      <c r="F270" s="151">
        <v>40000</v>
      </c>
      <c r="G270" s="151">
        <f t="shared" si="41"/>
        <v>200000</v>
      </c>
    </row>
    <row r="271" spans="1:7" s="139" customFormat="1" ht="15" customHeight="1">
      <c r="A271" s="147">
        <f t="shared" si="42"/>
        <v>26</v>
      </c>
      <c r="B271" s="131" t="s">
        <v>152</v>
      </c>
      <c r="C271" s="148"/>
      <c r="D271" s="149" t="s">
        <v>25</v>
      </c>
      <c r="E271" s="174">
        <v>1</v>
      </c>
      <c r="F271" s="151">
        <v>200000</v>
      </c>
      <c r="G271" s="151">
        <f t="shared" si="41"/>
        <v>200000</v>
      </c>
    </row>
    <row r="272" spans="1:7" s="139" customFormat="1" ht="15" customHeight="1">
      <c r="A272" s="147">
        <f t="shared" si="42"/>
        <v>27</v>
      </c>
      <c r="B272" s="131" t="s">
        <v>153</v>
      </c>
      <c r="C272" s="148"/>
      <c r="D272" s="149" t="s">
        <v>128</v>
      </c>
      <c r="E272" s="174">
        <v>0</v>
      </c>
      <c r="F272" s="151">
        <v>0</v>
      </c>
      <c r="G272" s="151">
        <f t="shared" si="41"/>
        <v>0</v>
      </c>
    </row>
    <row r="273" spans="1:7" s="139" customFormat="1" ht="15" customHeight="1">
      <c r="A273" s="147">
        <f t="shared" si="42"/>
        <v>28</v>
      </c>
      <c r="B273" s="131" t="s">
        <v>154</v>
      </c>
      <c r="C273" s="148"/>
      <c r="D273" s="149" t="s">
        <v>25</v>
      </c>
      <c r="E273" s="174">
        <v>1</v>
      </c>
      <c r="F273" s="151">
        <v>350000</v>
      </c>
      <c r="G273" s="151">
        <f t="shared" si="41"/>
        <v>350000</v>
      </c>
    </row>
    <row r="274" spans="1:7" s="139" customFormat="1" ht="15" customHeight="1">
      <c r="A274" s="147">
        <f t="shared" si="42"/>
        <v>29</v>
      </c>
      <c r="B274" s="131" t="s">
        <v>155</v>
      </c>
      <c r="C274" s="148"/>
      <c r="D274" s="149" t="s">
        <v>21</v>
      </c>
      <c r="E274" s="174">
        <v>0</v>
      </c>
      <c r="F274" s="151">
        <v>0</v>
      </c>
      <c r="G274" s="151">
        <f t="shared" si="41"/>
        <v>0</v>
      </c>
    </row>
    <row r="275" spans="1:7" s="139" customFormat="1" ht="15" customHeight="1">
      <c r="A275" s="147">
        <f t="shared" si="42"/>
        <v>30</v>
      </c>
      <c r="B275" s="131" t="s">
        <v>156</v>
      </c>
      <c r="C275" s="148"/>
      <c r="D275" s="149" t="s">
        <v>25</v>
      </c>
      <c r="E275" s="174">
        <v>0</v>
      </c>
      <c r="F275" s="151">
        <v>0</v>
      </c>
      <c r="G275" s="151">
        <f t="shared" si="41"/>
        <v>0</v>
      </c>
    </row>
    <row r="276" spans="1:7" s="139" customFormat="1" ht="15" customHeight="1">
      <c r="A276" s="147">
        <f t="shared" si="42"/>
        <v>31</v>
      </c>
      <c r="B276" s="131" t="s">
        <v>157</v>
      </c>
      <c r="C276" s="148"/>
      <c r="D276" s="149" t="s">
        <v>21</v>
      </c>
      <c r="E276" s="153">
        <v>1</v>
      </c>
      <c r="F276" s="151">
        <v>225000</v>
      </c>
      <c r="G276" s="151">
        <f>F276*E276</f>
        <v>225000</v>
      </c>
    </row>
    <row r="277" spans="1:7" s="139" customFormat="1" ht="15" customHeight="1">
      <c r="A277" s="147">
        <f t="shared" si="42"/>
        <v>32</v>
      </c>
      <c r="B277" s="131" t="s">
        <v>158</v>
      </c>
      <c r="C277" s="148"/>
      <c r="D277" s="149" t="s">
        <v>21</v>
      </c>
      <c r="E277" s="153">
        <v>0</v>
      </c>
      <c r="F277" s="151">
        <v>0</v>
      </c>
      <c r="G277" s="151">
        <f>F277*E277</f>
        <v>0</v>
      </c>
    </row>
    <row r="278" spans="1:7" s="139" customFormat="1" ht="15" customHeight="1">
      <c r="A278" s="147">
        <f t="shared" si="42"/>
        <v>33</v>
      </c>
      <c r="B278" s="131" t="s">
        <v>159</v>
      </c>
      <c r="C278" s="148"/>
      <c r="D278" s="149" t="s">
        <v>21</v>
      </c>
      <c r="E278" s="153">
        <v>0</v>
      </c>
      <c r="F278" s="151">
        <v>0</v>
      </c>
      <c r="G278" s="151">
        <f>F278*E278</f>
        <v>0</v>
      </c>
    </row>
    <row r="279" spans="1:7" s="139" customFormat="1" ht="15" customHeight="1">
      <c r="A279" s="147">
        <f t="shared" si="42"/>
        <v>34</v>
      </c>
      <c r="B279" s="131" t="s">
        <v>160</v>
      </c>
      <c r="C279" s="148"/>
      <c r="D279" s="149" t="s">
        <v>21</v>
      </c>
      <c r="E279" s="153">
        <v>0</v>
      </c>
      <c r="F279" s="151">
        <v>0</v>
      </c>
      <c r="G279" s="151">
        <f>F279*E279</f>
        <v>0</v>
      </c>
    </row>
    <row r="280" spans="1:7" s="139" customFormat="1" ht="15" customHeight="1">
      <c r="A280" s="147"/>
      <c r="B280" s="131" t="s">
        <v>328</v>
      </c>
      <c r="C280" s="148"/>
      <c r="D280" s="149"/>
      <c r="E280" s="153">
        <v>0</v>
      </c>
      <c r="F280" s="151">
        <v>0</v>
      </c>
      <c r="G280" s="151">
        <f>F280*E280</f>
        <v>0</v>
      </c>
    </row>
    <row r="281" spans="1:7" s="139" customFormat="1" ht="15" customHeight="1">
      <c r="A281" s="147"/>
      <c r="B281" s="131"/>
      <c r="C281" s="148"/>
      <c r="D281" s="149"/>
      <c r="E281" s="174"/>
      <c r="F281" s="151"/>
      <c r="G281" s="151"/>
    </row>
    <row r="282" spans="1:7" s="139" customFormat="1" ht="15" customHeight="1">
      <c r="A282" s="154"/>
      <c r="B282" s="155" t="s">
        <v>29</v>
      </c>
      <c r="C282" s="148"/>
      <c r="D282" s="149"/>
      <c r="E282" s="153"/>
      <c r="F282" s="151"/>
      <c r="G282" s="151"/>
    </row>
    <row r="283" spans="1:7" s="139" customFormat="1" ht="15" customHeight="1">
      <c r="A283" s="154">
        <v>1</v>
      </c>
      <c r="B283" s="155" t="s">
        <v>563</v>
      </c>
      <c r="C283" s="148"/>
      <c r="D283" s="149" t="s">
        <v>128</v>
      </c>
      <c r="E283" s="153">
        <v>7</v>
      </c>
      <c r="F283" s="151">
        <v>185000</v>
      </c>
      <c r="G283" s="151">
        <f>F283*E283</f>
        <v>1295000</v>
      </c>
    </row>
    <row r="284" spans="1:7" s="139" customFormat="1" ht="15" customHeight="1">
      <c r="A284" s="154">
        <f>A283+1</f>
        <v>2</v>
      </c>
      <c r="B284" s="155" t="s">
        <v>564</v>
      </c>
      <c r="C284" s="148"/>
      <c r="D284" s="149" t="s">
        <v>128</v>
      </c>
      <c r="E284" s="153">
        <v>7</v>
      </c>
      <c r="F284" s="151">
        <f>285000+15000</f>
        <v>300000</v>
      </c>
      <c r="G284" s="151">
        <f>F284*E284</f>
        <v>2100000</v>
      </c>
    </row>
    <row r="285" spans="1:7" s="139" customFormat="1" ht="15" customHeight="1">
      <c r="A285" s="154">
        <f t="shared" ref="A285:A295" si="43">A284+1</f>
        <v>3</v>
      </c>
      <c r="B285" s="155" t="s">
        <v>565</v>
      </c>
      <c r="C285" s="148"/>
      <c r="D285" s="149" t="s">
        <v>128</v>
      </c>
      <c r="E285" s="153">
        <v>12</v>
      </c>
      <c r="F285" s="151">
        <v>35000</v>
      </c>
      <c r="G285" s="151">
        <f t="shared" ref="G285:G296" si="44">F285*E285</f>
        <v>420000</v>
      </c>
    </row>
    <row r="286" spans="1:7" s="139" customFormat="1" ht="15" customHeight="1">
      <c r="A286" s="154">
        <f t="shared" si="43"/>
        <v>4</v>
      </c>
      <c r="B286" s="155" t="s">
        <v>566</v>
      </c>
      <c r="C286" s="148"/>
      <c r="D286" s="149" t="s">
        <v>128</v>
      </c>
      <c r="E286" s="153">
        <v>7</v>
      </c>
      <c r="F286" s="151">
        <f>425000+25000</f>
        <v>450000</v>
      </c>
      <c r="G286" s="151">
        <f t="shared" si="44"/>
        <v>3150000</v>
      </c>
    </row>
    <row r="287" spans="1:7" s="139" customFormat="1" ht="15" customHeight="1">
      <c r="A287" s="154">
        <f t="shared" si="43"/>
        <v>5</v>
      </c>
      <c r="B287" s="155" t="s">
        <v>567</v>
      </c>
      <c r="C287" s="148"/>
      <c r="D287" s="149" t="s">
        <v>128</v>
      </c>
      <c r="E287" s="153">
        <v>5</v>
      </c>
      <c r="F287" s="151">
        <v>185000</v>
      </c>
      <c r="G287" s="151">
        <f t="shared" si="44"/>
        <v>925000</v>
      </c>
    </row>
    <row r="288" spans="1:7" s="139" customFormat="1" ht="15" customHeight="1">
      <c r="A288" s="154">
        <f t="shared" si="43"/>
        <v>6</v>
      </c>
      <c r="B288" s="155" t="s">
        <v>568</v>
      </c>
      <c r="C288" s="148"/>
      <c r="D288" s="149" t="s">
        <v>128</v>
      </c>
      <c r="E288" s="153">
        <v>5</v>
      </c>
      <c r="F288" s="151">
        <f>185000+30000</f>
        <v>215000</v>
      </c>
      <c r="G288" s="151">
        <f t="shared" si="44"/>
        <v>1075000</v>
      </c>
    </row>
    <row r="289" spans="1:7" s="139" customFormat="1" ht="15" customHeight="1">
      <c r="A289" s="154">
        <f t="shared" si="43"/>
        <v>7</v>
      </c>
      <c r="B289" s="155" t="s">
        <v>569</v>
      </c>
      <c r="C289" s="148"/>
      <c r="D289" s="149" t="s">
        <v>128</v>
      </c>
      <c r="E289" s="153">
        <v>1</v>
      </c>
      <c r="F289" s="151">
        <v>425000</v>
      </c>
      <c r="G289" s="151">
        <f t="shared" si="44"/>
        <v>425000</v>
      </c>
    </row>
    <row r="290" spans="1:7" s="139" customFormat="1" ht="15" customHeight="1">
      <c r="A290" s="154">
        <f t="shared" si="43"/>
        <v>8</v>
      </c>
      <c r="B290" s="155" t="s">
        <v>570</v>
      </c>
      <c r="C290" s="148"/>
      <c r="D290" s="149" t="s">
        <v>35</v>
      </c>
      <c r="E290" s="153">
        <v>1</v>
      </c>
      <c r="F290" s="151">
        <v>785000</v>
      </c>
      <c r="G290" s="151">
        <f t="shared" si="44"/>
        <v>785000</v>
      </c>
    </row>
    <row r="291" spans="1:7" s="139" customFormat="1" ht="15" customHeight="1">
      <c r="A291" s="154">
        <f t="shared" si="43"/>
        <v>9</v>
      </c>
      <c r="B291" s="155" t="s">
        <v>571</v>
      </c>
      <c r="C291" s="148"/>
      <c r="D291" s="149" t="s">
        <v>35</v>
      </c>
      <c r="E291" s="153">
        <v>1</v>
      </c>
      <c r="F291" s="151">
        <v>125000</v>
      </c>
      <c r="G291" s="151">
        <f t="shared" si="44"/>
        <v>125000</v>
      </c>
    </row>
    <row r="292" spans="1:7" s="139" customFormat="1" ht="15" customHeight="1">
      <c r="A292" s="154">
        <f t="shared" si="43"/>
        <v>10</v>
      </c>
      <c r="B292" s="155" t="s">
        <v>572</v>
      </c>
      <c r="C292" s="148"/>
      <c r="D292" s="149" t="s">
        <v>35</v>
      </c>
      <c r="E292" s="153">
        <v>1</v>
      </c>
      <c r="F292" s="151">
        <v>90000</v>
      </c>
      <c r="G292" s="151">
        <f t="shared" si="44"/>
        <v>90000</v>
      </c>
    </row>
    <row r="293" spans="1:7" s="139" customFormat="1" ht="15" customHeight="1">
      <c r="A293" s="154">
        <f t="shared" si="43"/>
        <v>11</v>
      </c>
      <c r="B293" s="155" t="s">
        <v>573</v>
      </c>
      <c r="C293" s="148"/>
      <c r="D293" s="149" t="s">
        <v>513</v>
      </c>
      <c r="E293" s="153">
        <v>1</v>
      </c>
      <c r="F293" s="151">
        <v>450000</v>
      </c>
      <c r="G293" s="151">
        <f t="shared" si="44"/>
        <v>450000</v>
      </c>
    </row>
    <row r="294" spans="1:7" s="139" customFormat="1" ht="15" customHeight="1">
      <c r="A294" s="154">
        <f t="shared" si="43"/>
        <v>12</v>
      </c>
      <c r="B294" s="155" t="s">
        <v>574</v>
      </c>
      <c r="C294" s="148"/>
      <c r="D294" s="149" t="s">
        <v>128</v>
      </c>
      <c r="E294" s="153">
        <v>1</v>
      </c>
      <c r="F294" s="151">
        <v>200000</v>
      </c>
      <c r="G294" s="151">
        <f t="shared" si="44"/>
        <v>200000</v>
      </c>
    </row>
    <row r="295" spans="1:7" s="139" customFormat="1" ht="15" customHeight="1">
      <c r="A295" s="154">
        <f t="shared" si="43"/>
        <v>13</v>
      </c>
      <c r="B295" s="155" t="s">
        <v>575</v>
      </c>
      <c r="C295" s="148"/>
      <c r="D295" s="149" t="s">
        <v>35</v>
      </c>
      <c r="E295" s="153">
        <v>1</v>
      </c>
      <c r="F295" s="151">
        <v>150000</v>
      </c>
      <c r="G295" s="151">
        <f t="shared" si="44"/>
        <v>150000</v>
      </c>
    </row>
    <row r="296" spans="1:7" s="139" customFormat="1" ht="15" customHeight="1">
      <c r="A296" s="147"/>
      <c r="B296" s="131"/>
      <c r="C296" s="148"/>
      <c r="D296" s="149"/>
      <c r="E296" s="174"/>
      <c r="F296" s="151"/>
      <c r="G296" s="151">
        <f t="shared" si="44"/>
        <v>0</v>
      </c>
    </row>
    <row r="297" spans="1:7" s="168" customFormat="1" ht="15" customHeight="1">
      <c r="A297" s="161"/>
      <c r="B297" s="162"/>
      <c r="C297" s="163"/>
      <c r="D297" s="164"/>
      <c r="E297" s="165"/>
      <c r="F297" s="166"/>
      <c r="G297" s="167">
        <f>SUM(G246:G296)</f>
        <v>24343000</v>
      </c>
    </row>
    <row r="298" spans="1:7" s="146" customFormat="1" ht="15" customHeight="1">
      <c r="A298" s="140" t="s">
        <v>161</v>
      </c>
      <c r="B298" s="141" t="s">
        <v>162</v>
      </c>
      <c r="C298" s="142"/>
      <c r="D298" s="143"/>
      <c r="E298" s="144"/>
      <c r="F298" s="145"/>
      <c r="G298" s="145"/>
    </row>
    <row r="299" spans="1:7" s="139" customFormat="1" ht="15" customHeight="1">
      <c r="A299" s="147">
        <v>1</v>
      </c>
      <c r="B299" s="131" t="s">
        <v>163</v>
      </c>
      <c r="C299" s="148"/>
      <c r="D299" s="149" t="s">
        <v>25</v>
      </c>
      <c r="E299" s="153">
        <v>1</v>
      </c>
      <c r="F299" s="151">
        <v>1000000</v>
      </c>
      <c r="G299" s="151">
        <f>E299*F299</f>
        <v>1000000</v>
      </c>
    </row>
    <row r="300" spans="1:7" s="139" customFormat="1" ht="15" customHeight="1">
      <c r="A300" s="147"/>
      <c r="B300" s="131"/>
      <c r="C300" s="148"/>
      <c r="D300" s="149"/>
      <c r="E300" s="153"/>
      <c r="F300" s="151"/>
      <c r="G300" s="151"/>
    </row>
    <row r="301" spans="1:7" s="139" customFormat="1" ht="15" customHeight="1">
      <c r="A301" s="154"/>
      <c r="B301" s="155" t="s">
        <v>29</v>
      </c>
      <c r="C301" s="148"/>
      <c r="D301" s="149"/>
      <c r="E301" s="153"/>
      <c r="F301" s="151"/>
      <c r="G301" s="151"/>
    </row>
    <row r="302" spans="1:7" s="139" customFormat="1" ht="15" customHeight="1">
      <c r="A302" s="154">
        <v>1</v>
      </c>
      <c r="B302" s="155"/>
      <c r="C302" s="148"/>
      <c r="D302" s="149"/>
      <c r="E302" s="153"/>
      <c r="F302" s="151"/>
      <c r="G302" s="151"/>
    </row>
    <row r="303" spans="1:7" s="139" customFormat="1" ht="15" customHeight="1">
      <c r="A303" s="154">
        <f>1+A302</f>
        <v>2</v>
      </c>
      <c r="B303" s="155"/>
      <c r="C303" s="148"/>
      <c r="D303" s="149"/>
      <c r="E303" s="153"/>
      <c r="F303" s="151"/>
      <c r="G303" s="151"/>
    </row>
    <row r="304" spans="1:7" s="139" customFormat="1" ht="15" customHeight="1">
      <c r="A304" s="147"/>
      <c r="B304" s="131"/>
      <c r="C304" s="148"/>
      <c r="D304" s="149"/>
      <c r="E304" s="153"/>
      <c r="F304" s="151"/>
      <c r="G304" s="151"/>
    </row>
    <row r="305" spans="1:10" s="168" customFormat="1" ht="15" customHeight="1">
      <c r="A305" s="191"/>
      <c r="B305" s="192"/>
      <c r="C305" s="193"/>
      <c r="D305" s="194"/>
      <c r="E305" s="195"/>
      <c r="F305" s="166"/>
      <c r="G305" s="166">
        <f>SUM(G299:G304)</f>
        <v>1000000</v>
      </c>
    </row>
    <row r="306" spans="1:10" s="139" customFormat="1" ht="15" customHeight="1">
      <c r="A306" s="196"/>
      <c r="B306" s="197"/>
      <c r="C306" s="198"/>
      <c r="D306" s="199"/>
      <c r="E306" s="200"/>
      <c r="F306" s="201"/>
      <c r="G306" s="202">
        <f>+G20+G33+G65+G90+G115+G131+G148+G159+G175+G194+G207+G244+G297+G305</f>
        <v>1639277272.9774399</v>
      </c>
    </row>
    <row r="307" spans="1:10" s="139" customFormat="1" ht="15" customHeight="1">
      <c r="A307" s="203"/>
      <c r="B307" s="204"/>
      <c r="C307" s="205"/>
      <c r="D307" s="206"/>
      <c r="E307" s="207"/>
      <c r="F307" s="205"/>
      <c r="G307" s="208">
        <f>0.1*G306</f>
        <v>163927727.29774401</v>
      </c>
    </row>
    <row r="308" spans="1:10" s="139" customFormat="1" ht="15" customHeight="1">
      <c r="A308" s="209"/>
      <c r="B308" s="210"/>
      <c r="C308" s="211"/>
      <c r="D308" s="212"/>
      <c r="E308" s="213"/>
      <c r="F308" s="211"/>
      <c r="G308" s="214">
        <f>SUM(G306:G307)</f>
        <v>1803205000.2751839</v>
      </c>
      <c r="I308" s="472">
        <f>G308/465</f>
        <v>3877860.2156455568</v>
      </c>
    </row>
    <row r="309" spans="1:10" ht="15" customHeight="1">
      <c r="A309" s="29"/>
      <c r="B309" s="32"/>
      <c r="C309" s="29"/>
      <c r="D309" s="29"/>
      <c r="E309" s="79"/>
      <c r="F309" s="80"/>
      <c r="G309" s="81"/>
    </row>
    <row r="310" spans="1:10" ht="15" customHeight="1">
      <c r="A310" s="29"/>
      <c r="B310" s="32"/>
      <c r="C310" s="29"/>
      <c r="D310" s="29"/>
      <c r="E310" s="34"/>
      <c r="F310" s="35"/>
      <c r="G310" s="29"/>
      <c r="I310" s="478"/>
      <c r="J310" s="478"/>
    </row>
    <row r="311" spans="1:10" ht="15" customHeight="1">
      <c r="A311" s="29"/>
      <c r="B311" s="32"/>
      <c r="C311" s="29"/>
      <c r="D311" s="29"/>
      <c r="E311" s="34"/>
      <c r="G311" s="35"/>
    </row>
    <row r="312" spans="1:10" ht="15" customHeight="1">
      <c r="A312" s="29"/>
      <c r="B312" s="32"/>
      <c r="C312" s="29"/>
      <c r="D312" s="29"/>
      <c r="E312" s="34"/>
      <c r="G312" s="82"/>
    </row>
    <row r="313" spans="1:10" ht="15" customHeight="1">
      <c r="A313" s="29"/>
      <c r="B313" s="32"/>
      <c r="C313" s="29"/>
      <c r="D313" s="29"/>
      <c r="E313" s="34"/>
      <c r="G313" s="83"/>
    </row>
    <row r="314" spans="1:10" ht="15" customHeight="1">
      <c r="A314" s="29"/>
      <c r="B314" s="32"/>
      <c r="C314" s="29"/>
      <c r="D314" s="29"/>
      <c r="E314" s="34"/>
      <c r="G314" s="35"/>
    </row>
    <row r="315" spans="1:10" ht="15" customHeight="1">
      <c r="A315" s="29"/>
      <c r="B315" s="32"/>
      <c r="C315" s="29"/>
      <c r="D315" s="29"/>
      <c r="E315" s="34"/>
      <c r="G315" s="35"/>
    </row>
    <row r="316" spans="1:10" ht="15" customHeight="1">
      <c r="A316" s="29"/>
      <c r="B316" s="32"/>
      <c r="C316" s="29"/>
      <c r="D316" s="29"/>
      <c r="E316" s="34"/>
      <c r="F316" s="84"/>
      <c r="G316" s="35"/>
    </row>
    <row r="317" spans="1:10" ht="15" customHeight="1">
      <c r="A317" s="29"/>
      <c r="B317" s="32"/>
      <c r="C317" s="29"/>
      <c r="D317" s="29"/>
      <c r="E317" s="34"/>
      <c r="F317" s="35"/>
      <c r="G317" s="35"/>
    </row>
    <row r="318" spans="1:10" ht="15" customHeight="1">
      <c r="A318" s="29"/>
      <c r="B318" s="32"/>
      <c r="C318" s="29"/>
      <c r="D318" s="29"/>
      <c r="E318" s="34"/>
      <c r="F318" s="35"/>
      <c r="G318" s="35"/>
    </row>
    <row r="319" spans="1:10" ht="15" customHeight="1">
      <c r="A319" s="29"/>
      <c r="B319" s="32"/>
      <c r="C319" s="29"/>
      <c r="D319" s="29"/>
      <c r="E319" s="34"/>
      <c r="F319" s="35"/>
      <c r="G319" s="35"/>
    </row>
    <row r="320" spans="1:10" ht="15" customHeight="1">
      <c r="A320" s="29"/>
      <c r="B320" s="32"/>
      <c r="C320" s="29"/>
      <c r="D320" s="29"/>
      <c r="E320" s="34"/>
      <c r="F320" s="35"/>
      <c r="G320" s="35"/>
    </row>
    <row r="321" spans="1:7" ht="15" customHeight="1">
      <c r="A321" s="29"/>
      <c r="B321" s="32"/>
      <c r="C321" s="29"/>
      <c r="D321" s="29"/>
      <c r="E321" s="34"/>
      <c r="F321" s="35"/>
      <c r="G321" s="35"/>
    </row>
    <row r="322" spans="1:7" ht="15" customHeight="1">
      <c r="A322" s="29"/>
      <c r="B322" s="32"/>
      <c r="C322" s="29"/>
      <c r="D322" s="29"/>
      <c r="E322" s="34"/>
      <c r="F322" s="35"/>
      <c r="G322" s="35"/>
    </row>
    <row r="323" spans="1:7" ht="15" customHeight="1">
      <c r="A323" s="29"/>
      <c r="B323" s="32"/>
      <c r="C323" s="29"/>
      <c r="D323" s="29"/>
      <c r="E323" s="34"/>
      <c r="F323" s="35"/>
      <c r="G323" s="35"/>
    </row>
    <row r="324" spans="1:7" ht="15" customHeight="1">
      <c r="A324" s="29"/>
      <c r="B324" s="32"/>
      <c r="C324" s="29"/>
      <c r="D324" s="29"/>
      <c r="E324" s="34"/>
      <c r="F324" s="35"/>
      <c r="G324" s="35"/>
    </row>
    <row r="325" spans="1:7" ht="15" customHeight="1">
      <c r="A325" s="29"/>
      <c r="B325" s="32"/>
      <c r="C325" s="29"/>
      <c r="D325" s="29"/>
      <c r="E325" s="34"/>
      <c r="F325" s="35"/>
      <c r="G325" s="35"/>
    </row>
    <row r="326" spans="1:7" ht="15" customHeight="1">
      <c r="A326" s="29"/>
      <c r="B326" s="32"/>
      <c r="C326" s="29"/>
      <c r="D326" s="29"/>
      <c r="E326" s="34"/>
      <c r="F326" s="35"/>
      <c r="G326" s="35"/>
    </row>
    <row r="327" spans="1:7" ht="15" customHeight="1">
      <c r="A327" s="29"/>
      <c r="B327" s="32"/>
      <c r="C327" s="29"/>
      <c r="D327" s="29"/>
      <c r="E327" s="34"/>
      <c r="F327" s="35"/>
      <c r="G327" s="35"/>
    </row>
    <row r="328" spans="1:7" ht="15" customHeight="1">
      <c r="A328" s="29"/>
      <c r="B328" s="32"/>
      <c r="C328" s="29"/>
      <c r="D328" s="29"/>
      <c r="E328" s="34"/>
      <c r="F328" s="35"/>
      <c r="G328" s="35"/>
    </row>
    <row r="329" spans="1:7" ht="15" customHeight="1">
      <c r="A329" s="29"/>
      <c r="B329" s="32"/>
      <c r="C329" s="29"/>
      <c r="D329" s="29"/>
      <c r="E329" s="34"/>
      <c r="F329" s="35"/>
      <c r="G329" s="35"/>
    </row>
    <row r="330" spans="1:7" ht="15" customHeight="1">
      <c r="A330" s="29"/>
      <c r="B330" s="32"/>
      <c r="C330" s="29"/>
      <c r="D330" s="29"/>
      <c r="E330" s="34"/>
      <c r="F330" s="35"/>
      <c r="G330" s="35"/>
    </row>
    <row r="331" spans="1:7" ht="15" customHeight="1">
      <c r="A331" s="29"/>
      <c r="B331" s="32"/>
      <c r="C331" s="29"/>
      <c r="D331" s="29"/>
      <c r="E331" s="34"/>
      <c r="F331" s="35"/>
      <c r="G331" s="35"/>
    </row>
    <row r="332" spans="1:7" ht="15" customHeight="1">
      <c r="A332" s="29"/>
      <c r="B332" s="32"/>
      <c r="C332" s="29"/>
      <c r="D332" s="29"/>
      <c r="E332" s="34"/>
      <c r="F332" s="35"/>
      <c r="G332" s="35"/>
    </row>
    <row r="333" spans="1:7" ht="15" customHeight="1">
      <c r="A333" s="29"/>
      <c r="B333" s="32"/>
      <c r="C333" s="29"/>
      <c r="D333" s="29"/>
      <c r="E333" s="34"/>
      <c r="F333" s="35"/>
      <c r="G333" s="35"/>
    </row>
    <row r="334" spans="1:7" ht="15" customHeight="1">
      <c r="A334" s="29"/>
      <c r="B334" s="32"/>
      <c r="C334" s="29"/>
      <c r="D334" s="29"/>
      <c r="E334" s="34"/>
      <c r="F334" s="35"/>
      <c r="G334" s="35"/>
    </row>
    <row r="335" spans="1:7" ht="15" customHeight="1">
      <c r="A335" s="29"/>
      <c r="B335" s="32"/>
      <c r="C335" s="29"/>
      <c r="D335" s="29"/>
      <c r="E335" s="34"/>
      <c r="F335" s="35"/>
      <c r="G335" s="35"/>
    </row>
    <row r="336" spans="1:7" ht="15" customHeight="1">
      <c r="A336" s="29"/>
      <c r="B336" s="32"/>
      <c r="C336" s="29"/>
      <c r="D336" s="29"/>
      <c r="E336" s="34"/>
      <c r="F336" s="35"/>
      <c r="G336" s="35"/>
    </row>
    <row r="337" spans="1:7" ht="15" customHeight="1">
      <c r="A337" s="29"/>
      <c r="B337" s="32"/>
      <c r="C337" s="29"/>
      <c r="D337" s="29"/>
      <c r="E337" s="34"/>
      <c r="F337" s="35"/>
      <c r="G337" s="35"/>
    </row>
    <row r="338" spans="1:7" ht="15" customHeight="1">
      <c r="A338" s="29"/>
      <c r="B338" s="32"/>
      <c r="C338" s="29"/>
      <c r="D338" s="29"/>
      <c r="E338" s="34"/>
      <c r="F338" s="35"/>
      <c r="G338" s="35"/>
    </row>
    <row r="339" spans="1:7" ht="15" customHeight="1">
      <c r="A339" s="29"/>
      <c r="B339" s="32"/>
      <c r="C339" s="29"/>
      <c r="D339" s="29"/>
      <c r="E339" s="34"/>
      <c r="F339" s="35"/>
      <c r="G339" s="35"/>
    </row>
    <row r="340" spans="1:7" ht="15" customHeight="1">
      <c r="A340" s="29"/>
      <c r="B340" s="32"/>
      <c r="C340" s="29"/>
      <c r="D340" s="29"/>
      <c r="E340" s="34"/>
      <c r="F340" s="35"/>
      <c r="G340" s="35"/>
    </row>
    <row r="341" spans="1:7" ht="15" customHeight="1">
      <c r="A341" s="29"/>
      <c r="B341" s="32"/>
      <c r="C341" s="29"/>
      <c r="D341" s="29"/>
      <c r="E341" s="34"/>
      <c r="F341" s="35"/>
      <c r="G341" s="35"/>
    </row>
    <row r="342" spans="1:7" ht="15" customHeight="1">
      <c r="A342" s="29"/>
      <c r="B342" s="32"/>
      <c r="C342" s="29"/>
      <c r="D342" s="29"/>
      <c r="E342" s="34"/>
      <c r="F342" s="35"/>
      <c r="G342" s="35"/>
    </row>
    <row r="343" spans="1:7" ht="15" customHeight="1">
      <c r="A343" s="29"/>
      <c r="B343" s="32"/>
      <c r="C343" s="29"/>
      <c r="D343" s="29"/>
      <c r="E343" s="34"/>
      <c r="F343" s="35"/>
      <c r="G343" s="35"/>
    </row>
    <row r="344" spans="1:7" ht="15" customHeight="1">
      <c r="A344" s="29"/>
      <c r="B344" s="32"/>
      <c r="C344" s="29"/>
      <c r="D344" s="29"/>
      <c r="E344" s="34"/>
      <c r="F344" s="35"/>
      <c r="G344" s="35"/>
    </row>
    <row r="345" spans="1:7" ht="15" customHeight="1">
      <c r="A345" s="29"/>
      <c r="B345" s="32"/>
      <c r="C345" s="29"/>
      <c r="D345" s="29"/>
      <c r="E345" s="34"/>
      <c r="F345" s="35"/>
      <c r="G345" s="35"/>
    </row>
    <row r="346" spans="1:7" ht="15" customHeight="1">
      <c r="A346" s="29"/>
      <c r="B346" s="32"/>
      <c r="C346" s="29"/>
      <c r="D346" s="29"/>
      <c r="E346" s="34"/>
      <c r="F346" s="35"/>
      <c r="G346" s="35"/>
    </row>
    <row r="347" spans="1:7" ht="15" customHeight="1">
      <c r="A347" s="29"/>
      <c r="B347" s="32"/>
      <c r="C347" s="29"/>
      <c r="D347" s="29"/>
      <c r="E347" s="34"/>
      <c r="F347" s="35"/>
      <c r="G347" s="35"/>
    </row>
    <row r="348" spans="1:7" ht="15" customHeight="1">
      <c r="A348" s="29"/>
      <c r="B348" s="32"/>
      <c r="C348" s="29"/>
      <c r="D348" s="29"/>
      <c r="E348" s="34"/>
      <c r="F348" s="35"/>
      <c r="G348" s="35"/>
    </row>
    <row r="349" spans="1:7" ht="15" customHeight="1">
      <c r="A349" s="29"/>
      <c r="B349" s="32"/>
      <c r="C349" s="29"/>
      <c r="D349" s="29"/>
      <c r="E349" s="34"/>
      <c r="F349" s="35"/>
      <c r="G349" s="35"/>
    </row>
    <row r="350" spans="1:7" ht="15" customHeight="1">
      <c r="A350" s="29"/>
      <c r="B350" s="32"/>
      <c r="C350" s="29"/>
      <c r="D350" s="29"/>
      <c r="E350" s="34"/>
      <c r="F350" s="35"/>
      <c r="G350" s="35"/>
    </row>
    <row r="351" spans="1:7" ht="15" customHeight="1">
      <c r="A351" s="29"/>
      <c r="B351" s="32"/>
      <c r="C351" s="29"/>
      <c r="D351" s="29"/>
      <c r="E351" s="34"/>
      <c r="F351" s="35"/>
      <c r="G351" s="35"/>
    </row>
    <row r="352" spans="1:7" ht="15" customHeight="1">
      <c r="A352" s="29"/>
      <c r="B352" s="32"/>
      <c r="C352" s="29"/>
      <c r="D352" s="29"/>
      <c r="E352" s="34"/>
      <c r="F352" s="35"/>
      <c r="G352" s="35"/>
    </row>
    <row r="353" spans="1:7" ht="15" customHeight="1">
      <c r="A353" s="29"/>
      <c r="B353" s="32"/>
      <c r="C353" s="29"/>
      <c r="D353" s="29"/>
      <c r="E353" s="34"/>
      <c r="F353" s="35"/>
      <c r="G353" s="35"/>
    </row>
    <row r="354" spans="1:7" ht="15" customHeight="1">
      <c r="A354" s="29"/>
      <c r="B354" s="32"/>
      <c r="C354" s="29"/>
      <c r="D354" s="29"/>
      <c r="E354" s="34"/>
      <c r="F354" s="35"/>
      <c r="G354" s="35"/>
    </row>
  </sheetData>
  <mergeCells count="2">
    <mergeCell ref="D1:G2"/>
    <mergeCell ref="D3:G4"/>
  </mergeCells>
  <printOptions horizontalCentered="1"/>
  <pageMargins left="0.31496062992125984" right="0.31496062992125984" top="1.6107291666666668" bottom="0.19685039370078741" header="0.19685039370078741" footer="0.27559055118110237"/>
  <pageSetup paperSize="9" scale="65" fitToHeight="0" orientation="portrait" horizontalDpi="4294967293" verticalDpi="300" r:id="rId1"/>
  <headerFooter scaleWithDoc="0"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1"/>
  <sheetViews>
    <sheetView view="pageBreakPreview" zoomScaleNormal="100" zoomScaleSheetLayoutView="100" workbookViewId="0">
      <selection activeCell="G18" sqref="G18"/>
    </sheetView>
  </sheetViews>
  <sheetFormatPr defaultColWidth="9.21875" defaultRowHeight="15" customHeight="1"/>
  <cols>
    <col min="1" max="1" width="7.33203125" style="9" customWidth="1"/>
    <col min="2" max="2" width="10.109375" style="9" customWidth="1"/>
    <col min="3" max="3" width="12.21875" style="9" customWidth="1"/>
    <col min="4" max="4" width="24.5546875" style="9" customWidth="1"/>
    <col min="5" max="5" width="17.88671875" style="9" customWidth="1"/>
    <col min="6" max="6" width="23.109375" style="21" customWidth="1"/>
    <col min="7" max="7" width="16.5546875" style="9" bestFit="1" customWidth="1"/>
    <col min="8" max="8" width="16.88671875" style="9" customWidth="1"/>
    <col min="9" max="16384" width="9.21875" style="9"/>
  </cols>
  <sheetData>
    <row r="1" spans="1:8" s="2" customFormat="1" ht="20.100000000000001" customHeight="1">
      <c r="A1" s="1" t="s">
        <v>0</v>
      </c>
      <c r="B1" s="1"/>
      <c r="F1" s="3"/>
    </row>
    <row r="2" spans="1:8" s="2" customFormat="1" ht="20.100000000000001" customHeight="1">
      <c r="A2" s="1" t="s">
        <v>164</v>
      </c>
      <c r="B2" s="1"/>
      <c r="F2" s="3"/>
    </row>
    <row r="3" spans="1:8" s="2" customFormat="1" ht="20.100000000000001" customHeight="1">
      <c r="A3" s="1" t="s">
        <v>230</v>
      </c>
      <c r="B3" s="1"/>
      <c r="F3" s="3"/>
    </row>
    <row r="5" spans="1:8" s="4" customFormat="1" ht="15" customHeight="1">
      <c r="A5" s="523" t="s">
        <v>1</v>
      </c>
      <c r="B5" s="525" t="s">
        <v>2</v>
      </c>
      <c r="C5" s="526"/>
      <c r="D5" s="526"/>
      <c r="E5" s="527"/>
      <c r="F5" s="534" t="s">
        <v>3</v>
      </c>
    </row>
    <row r="6" spans="1:8" s="4" customFormat="1" ht="15" customHeight="1" thickBot="1">
      <c r="A6" s="524"/>
      <c r="B6" s="528"/>
      <c r="C6" s="529"/>
      <c r="D6" s="529"/>
      <c r="E6" s="530"/>
      <c r="F6" s="535"/>
    </row>
    <row r="7" spans="1:8" ht="15" customHeight="1" thickTop="1">
      <c r="A7" s="10" t="str">
        <f>+'RAB POOL'!A8</f>
        <v>II</v>
      </c>
      <c r="B7" s="11" t="str">
        <f>+'RAB POOL'!B8</f>
        <v>PEKERJAAN TANAH</v>
      </c>
      <c r="C7" s="12"/>
      <c r="D7" s="13"/>
      <c r="E7" s="13"/>
      <c r="F7" s="14">
        <f>'RAB POOL'!G25</f>
        <v>553460654.99999988</v>
      </c>
    </row>
    <row r="8" spans="1:8" ht="15" customHeight="1">
      <c r="A8" s="10" t="str">
        <f>+'RAB POOL'!A26</f>
        <v>III</v>
      </c>
      <c r="B8" s="11" t="str">
        <f>+'RAB POOL'!B26</f>
        <v>PEKERJAAN STRUKTUR</v>
      </c>
      <c r="C8" s="13"/>
      <c r="D8" s="13"/>
      <c r="E8" s="13"/>
      <c r="F8" s="14">
        <f>'RAB POOL'!G58</f>
        <v>301157032.37296808</v>
      </c>
    </row>
    <row r="9" spans="1:8" ht="15" customHeight="1">
      <c r="A9" s="10" t="str">
        <f>+'RAB POOL'!A59</f>
        <v>VI</v>
      </c>
      <c r="B9" s="11" t="str">
        <f>+'RAB POOL'!B59</f>
        <v>PEKERJAAN PASANGAN DAN PLESTERAN</v>
      </c>
      <c r="C9" s="13"/>
      <c r="D9" s="13"/>
      <c r="E9" s="13"/>
      <c r="F9" s="14">
        <f>'RAB POOL'!G73</f>
        <v>47164421.239999995</v>
      </c>
    </row>
    <row r="10" spans="1:8" ht="15" customHeight="1">
      <c r="A10" s="10" t="str">
        <f>+'RAB POOL'!A74</f>
        <v>V</v>
      </c>
      <c r="B10" s="11" t="str">
        <f>+'RAB POOL'!B74</f>
        <v>PEKERJAAN PELAPIS LANTAI DAN DINDING</v>
      </c>
      <c r="C10" s="12"/>
      <c r="D10" s="13"/>
      <c r="E10" s="13"/>
      <c r="F10" s="14">
        <f>'RAB POOL'!G87</f>
        <v>293103802.79897881</v>
      </c>
    </row>
    <row r="11" spans="1:8" ht="15" customHeight="1">
      <c r="A11" s="10" t="str">
        <f>+'RAB POOL'!A88</f>
        <v>VI</v>
      </c>
      <c r="B11" s="11" t="str">
        <f>+'RAB POOL'!B88</f>
        <v>PEKERJAAN MEKANIKAL ELEKTRIKAL DAN TEST</v>
      </c>
      <c r="C11" s="13"/>
      <c r="D11" s="13"/>
      <c r="E11" s="13"/>
      <c r="F11" s="14">
        <f>'RAB POOL'!G124</f>
        <v>259305450</v>
      </c>
    </row>
    <row r="12" spans="1:8" ht="15" customHeight="1">
      <c r="A12" s="10" t="str">
        <f>'RAB POOL'!A125</f>
        <v>VII</v>
      </c>
      <c r="B12" s="11" t="str">
        <f>'RAB POOL'!B125</f>
        <v>PEKERJAAN LAIN - LAIN</v>
      </c>
      <c r="C12" s="13"/>
      <c r="D12" s="13"/>
      <c r="E12" s="13"/>
      <c r="F12" s="14">
        <f>'RAB POOL'!G138</f>
        <v>83034937.488375008</v>
      </c>
    </row>
    <row r="13" spans="1:8" ht="15" customHeight="1" thickBot="1">
      <c r="A13" s="15"/>
      <c r="B13" s="16"/>
      <c r="C13" s="17"/>
      <c r="D13" s="17"/>
      <c r="E13" s="17"/>
      <c r="F13" s="18"/>
    </row>
    <row r="14" spans="1:8" ht="15" customHeight="1" thickTop="1">
      <c r="E14" s="19" t="s">
        <v>4</v>
      </c>
      <c r="F14" s="20">
        <f>SUM(F7:F13)</f>
        <v>1537226298.9003217</v>
      </c>
      <c r="H14" s="21"/>
    </row>
    <row r="15" spans="1:8" ht="15" customHeight="1">
      <c r="E15" s="19" t="s">
        <v>597</v>
      </c>
      <c r="F15" s="484">
        <f>6.75%*F14</f>
        <v>103762775.17577173</v>
      </c>
      <c r="H15" s="21"/>
    </row>
    <row r="16" spans="1:8" ht="15" customHeight="1">
      <c r="E16" s="19" t="s">
        <v>598</v>
      </c>
      <c r="F16" s="484">
        <f>F15+F14</f>
        <v>1640989074.0760934</v>
      </c>
      <c r="G16" s="520">
        <f>REKAP!F24+'REKAP  POOL'!F16</f>
        <v>3388786502.5246401</v>
      </c>
      <c r="H16" s="21">
        <v>2890000000</v>
      </c>
    </row>
    <row r="17" spans="1:7" ht="15" customHeight="1">
      <c r="E17" s="19" t="s">
        <v>5</v>
      </c>
      <c r="F17" s="521">
        <f>ROUNDDOWN(F16,-5)</f>
        <v>1640900000</v>
      </c>
      <c r="G17" s="522">
        <f>F17+REKAP!F25</f>
        <v>3388600000</v>
      </c>
    </row>
    <row r="18" spans="1:7" ht="15" customHeight="1">
      <c r="A18" s="50" t="s">
        <v>614</v>
      </c>
    </row>
    <row r="21" spans="1:7" ht="15" customHeight="1">
      <c r="E21" s="23"/>
      <c r="F21" s="24"/>
    </row>
  </sheetData>
  <mergeCells count="3">
    <mergeCell ref="A5:A6"/>
    <mergeCell ref="B5:E6"/>
    <mergeCell ref="F5:F6"/>
  </mergeCells>
  <printOptions horizontalCentered="1"/>
  <pageMargins left="3.937007874015748E-2" right="3.937007874015748E-2" top="1.7716535433070868" bottom="0.55118110236220474" header="0.31496062992125984" footer="0.31496062992125984"/>
  <pageSetup paperSize="9" orientation="portrait" horizontalDpi="300" verticalDpi="300" r:id="rId1"/>
  <headerFooter scaleWithDoc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90"/>
  <sheetViews>
    <sheetView view="pageBreakPreview" zoomScaleNormal="100" zoomScaleSheetLayoutView="100" zoomScalePageLayoutView="25" workbookViewId="0">
      <selection activeCell="E21" sqref="E21:E28"/>
    </sheetView>
  </sheetViews>
  <sheetFormatPr defaultColWidth="9.21875" defaultRowHeight="15" customHeight="1" outlineLevelCol="1"/>
  <cols>
    <col min="1" max="1" width="7.5546875" style="9" customWidth="1"/>
    <col min="2" max="2" width="48.77734375" style="85" customWidth="1"/>
    <col min="3" max="3" width="30.5546875" style="9" customWidth="1" outlineLevel="1"/>
    <col min="4" max="4" width="7.33203125" style="9" customWidth="1"/>
    <col min="5" max="5" width="9.5546875" style="121" bestFit="1" customWidth="1"/>
    <col min="6" max="6" width="16.88671875" style="95" customWidth="1"/>
    <col min="7" max="7" width="16.88671875" style="9" customWidth="1"/>
    <col min="8" max="8" width="9.21875" style="9"/>
    <col min="9" max="9" width="11.5546875" style="9" bestFit="1" customWidth="1"/>
    <col min="10" max="16384" width="9.21875" style="9"/>
  </cols>
  <sheetData>
    <row r="1" spans="1:9" ht="20.100000000000001" customHeight="1">
      <c r="A1" s="25" t="s">
        <v>6</v>
      </c>
      <c r="B1" s="26"/>
      <c r="C1" s="27" t="s">
        <v>7</v>
      </c>
      <c r="D1" s="533" t="s">
        <v>8</v>
      </c>
      <c r="E1" s="533"/>
      <c r="F1" s="533"/>
      <c r="G1" s="533"/>
    </row>
    <row r="2" spans="1:9" ht="20.100000000000001" customHeight="1">
      <c r="A2" s="25" t="s">
        <v>9</v>
      </c>
      <c r="B2" s="26"/>
      <c r="C2" s="30"/>
      <c r="D2" s="533"/>
      <c r="E2" s="533"/>
      <c r="F2" s="533"/>
      <c r="G2" s="533"/>
    </row>
    <row r="3" spans="1:9" ht="20.100000000000001" customHeight="1">
      <c r="A3" s="25" t="str">
        <f>'REKAP  POOL'!A3</f>
        <v>District 9</v>
      </c>
      <c r="B3" s="26"/>
      <c r="C3" s="30"/>
      <c r="D3" s="533" t="s">
        <v>10</v>
      </c>
      <c r="E3" s="533"/>
      <c r="F3" s="533"/>
      <c r="G3" s="533"/>
    </row>
    <row r="4" spans="1:9" ht="20.100000000000001" customHeight="1">
      <c r="A4" s="31"/>
      <c r="B4" s="32"/>
      <c r="C4" s="30"/>
      <c r="D4" s="533"/>
      <c r="E4" s="533"/>
      <c r="F4" s="533"/>
      <c r="G4" s="533"/>
    </row>
    <row r="5" spans="1:9" ht="20.100000000000001" customHeight="1">
      <c r="A5" s="33" t="s">
        <v>165</v>
      </c>
      <c r="B5" s="32"/>
      <c r="C5" s="30"/>
      <c r="D5" s="87" t="s">
        <v>166</v>
      </c>
      <c r="E5" s="87"/>
      <c r="F5" s="87"/>
      <c r="G5" s="87"/>
    </row>
    <row r="6" spans="1:9" ht="7.5" customHeight="1">
      <c r="A6" s="31"/>
      <c r="B6" s="32"/>
      <c r="C6" s="29"/>
      <c r="D6" s="88"/>
      <c r="E6" s="88"/>
      <c r="F6" s="88"/>
      <c r="G6" s="88"/>
    </row>
    <row r="7" spans="1:9" ht="26.4">
      <c r="A7" s="122" t="s">
        <v>12</v>
      </c>
      <c r="B7" s="123"/>
      <c r="C7" s="124" t="s">
        <v>13</v>
      </c>
      <c r="D7" s="125" t="s">
        <v>14</v>
      </c>
      <c r="E7" s="126" t="s">
        <v>15</v>
      </c>
      <c r="F7" s="90" t="s">
        <v>16</v>
      </c>
      <c r="G7" s="90" t="s">
        <v>17</v>
      </c>
    </row>
    <row r="8" spans="1:9" s="40" customFormat="1" ht="15" customHeight="1">
      <c r="A8" s="36" t="s">
        <v>31</v>
      </c>
      <c r="B8" s="37" t="s">
        <v>32</v>
      </c>
      <c r="C8" s="38"/>
      <c r="D8" s="39"/>
      <c r="E8" s="91"/>
      <c r="F8" s="92"/>
      <c r="G8" s="92"/>
    </row>
    <row r="9" spans="1:9" ht="15" customHeight="1">
      <c r="A9" s="41">
        <v>1</v>
      </c>
      <c r="B9" s="42" t="s">
        <v>33</v>
      </c>
      <c r="C9" s="43"/>
      <c r="D9" s="44" t="s">
        <v>23</v>
      </c>
      <c r="E9" s="93">
        <v>0</v>
      </c>
      <c r="F9" s="94">
        <v>0</v>
      </c>
      <c r="G9" s="94">
        <f>E9*F9</f>
        <v>0</v>
      </c>
      <c r="H9" s="50"/>
    </row>
    <row r="10" spans="1:9" ht="15" customHeight="1">
      <c r="A10" s="41">
        <f t="shared" ref="A10:A17" si="0">A9+1</f>
        <v>2</v>
      </c>
      <c r="B10" s="42" t="s">
        <v>34</v>
      </c>
      <c r="C10" s="43"/>
      <c r="D10" s="44" t="s">
        <v>35</v>
      </c>
      <c r="E10" s="93">
        <v>29</v>
      </c>
      <c r="F10" s="94">
        <f>RAB!F22</f>
        <v>25000</v>
      </c>
      <c r="G10" s="94">
        <f t="shared" ref="G10:G24" si="1">E10*F10</f>
        <v>725000</v>
      </c>
    </row>
    <row r="11" spans="1:9" ht="15" customHeight="1">
      <c r="A11" s="41">
        <f t="shared" si="0"/>
        <v>3</v>
      </c>
      <c r="B11" s="42" t="s">
        <v>167</v>
      </c>
      <c r="C11" s="43"/>
      <c r="D11" s="44" t="s">
        <v>37</v>
      </c>
      <c r="E11" s="93">
        <f>56.26*0.2+1.2*3.35*0.2</f>
        <v>12.056000000000001</v>
      </c>
      <c r="F11" s="94">
        <f>RAB!F23</f>
        <v>75000</v>
      </c>
      <c r="G11" s="94">
        <f t="shared" si="1"/>
        <v>904200.00000000012</v>
      </c>
      <c r="I11" s="50"/>
    </row>
    <row r="12" spans="1:9" ht="15" customHeight="1">
      <c r="A12" s="41">
        <f>A10+1</f>
        <v>3</v>
      </c>
      <c r="B12" s="42" t="s">
        <v>38</v>
      </c>
      <c r="C12" s="43"/>
      <c r="D12" s="44" t="s">
        <v>37</v>
      </c>
      <c r="E12" s="93">
        <v>5</v>
      </c>
      <c r="F12" s="94">
        <f>RAB!F24</f>
        <v>60000</v>
      </c>
      <c r="G12" s="94">
        <f t="shared" si="1"/>
        <v>300000</v>
      </c>
    </row>
    <row r="13" spans="1:9" ht="15" customHeight="1">
      <c r="A13" s="41">
        <f>A11+1</f>
        <v>4</v>
      </c>
      <c r="B13" s="42" t="s">
        <v>168</v>
      </c>
      <c r="C13" s="43"/>
      <c r="D13" s="44" t="s">
        <v>37</v>
      </c>
      <c r="E13" s="93">
        <f>226+7</f>
        <v>233</v>
      </c>
      <c r="F13" s="94">
        <v>125000</v>
      </c>
      <c r="G13" s="94">
        <f t="shared" si="1"/>
        <v>29125000</v>
      </c>
    </row>
    <row r="14" spans="1:9" ht="15" customHeight="1">
      <c r="A14" s="41">
        <f t="shared" si="0"/>
        <v>5</v>
      </c>
      <c r="B14" s="42" t="s">
        <v>39</v>
      </c>
      <c r="C14" s="43"/>
      <c r="D14" s="44" t="s">
        <v>40</v>
      </c>
      <c r="E14" s="93">
        <v>56.26</v>
      </c>
      <c r="F14" s="94">
        <f>Analisa!F92</f>
        <v>3150</v>
      </c>
      <c r="G14" s="94">
        <f t="shared" si="1"/>
        <v>177219</v>
      </c>
    </row>
    <row r="15" spans="1:9" ht="15" customHeight="1">
      <c r="A15" s="41">
        <f t="shared" si="0"/>
        <v>6</v>
      </c>
      <c r="B15" s="42" t="s">
        <v>41</v>
      </c>
      <c r="C15" s="43"/>
      <c r="D15" s="44" t="s">
        <v>40</v>
      </c>
      <c r="E15" s="93">
        <f>6.75*22.2+6.7*7.15-2.7*1.7</f>
        <v>193.16499999999999</v>
      </c>
      <c r="F15" s="94">
        <f>F14</f>
        <v>3150</v>
      </c>
      <c r="G15" s="94">
        <f t="shared" si="1"/>
        <v>608469.75</v>
      </c>
    </row>
    <row r="16" spans="1:9" ht="15" customHeight="1">
      <c r="A16" s="41">
        <f t="shared" si="0"/>
        <v>7</v>
      </c>
      <c r="B16" s="42" t="s">
        <v>169</v>
      </c>
      <c r="C16" s="43"/>
      <c r="D16" s="44" t="s">
        <v>37</v>
      </c>
      <c r="E16" s="93">
        <v>0</v>
      </c>
      <c r="F16" s="94">
        <v>0</v>
      </c>
      <c r="G16" s="94">
        <f t="shared" si="1"/>
        <v>0</v>
      </c>
      <c r="H16" s="50"/>
    </row>
    <row r="17" spans="1:7" ht="15" customHeight="1">
      <c r="A17" s="41">
        <f t="shared" si="0"/>
        <v>8</v>
      </c>
      <c r="B17" s="42" t="s">
        <v>170</v>
      </c>
      <c r="C17" s="43"/>
      <c r="D17" s="44" t="s">
        <v>37</v>
      </c>
      <c r="E17" s="93">
        <v>0</v>
      </c>
      <c r="F17" s="94">
        <v>0</v>
      </c>
      <c r="G17" s="94">
        <f t="shared" si="1"/>
        <v>0</v>
      </c>
    </row>
    <row r="18" spans="1:7" ht="15" customHeight="1">
      <c r="A18" s="41"/>
      <c r="B18" s="42"/>
      <c r="C18" s="43"/>
      <c r="D18" s="44"/>
      <c r="E18" s="93"/>
      <c r="F18" s="94"/>
      <c r="G18" s="94">
        <f t="shared" si="1"/>
        <v>0</v>
      </c>
    </row>
    <row r="19" spans="1:7" ht="15" customHeight="1">
      <c r="A19" s="45"/>
      <c r="B19" s="46" t="s">
        <v>29</v>
      </c>
      <c r="C19" s="43"/>
      <c r="D19" s="44"/>
      <c r="E19" s="61"/>
      <c r="F19" s="94"/>
      <c r="G19" s="94">
        <f t="shared" si="1"/>
        <v>0</v>
      </c>
    </row>
    <row r="20" spans="1:7" s="50" customFormat="1" ht="15" customHeight="1">
      <c r="A20" s="45">
        <v>1</v>
      </c>
      <c r="B20" s="46" t="s">
        <v>601</v>
      </c>
      <c r="C20" s="48"/>
      <c r="D20" s="49" t="s">
        <v>546</v>
      </c>
      <c r="E20" s="96">
        <v>1</v>
      </c>
      <c r="F20" s="97">
        <v>15000000</v>
      </c>
      <c r="G20" s="94">
        <f t="shared" si="1"/>
        <v>15000000</v>
      </c>
    </row>
    <row r="21" spans="1:7" s="50" customFormat="1" ht="15" customHeight="1">
      <c r="A21" s="45">
        <f>1+A20</f>
        <v>2</v>
      </c>
      <c r="B21" s="46" t="s">
        <v>545</v>
      </c>
      <c r="C21" s="48"/>
      <c r="D21" s="49" t="s">
        <v>546</v>
      </c>
      <c r="E21" s="153">
        <f t="shared" ref="E21" si="2">SUM(E22:E51)</f>
        <v>599.29309999999987</v>
      </c>
      <c r="F21" s="97">
        <v>750000</v>
      </c>
      <c r="G21" s="94">
        <f t="shared" si="1"/>
        <v>449469824.99999988</v>
      </c>
    </row>
    <row r="22" spans="1:7" s="50" customFormat="1" ht="15" customHeight="1">
      <c r="A22" s="45">
        <v>3</v>
      </c>
      <c r="B22" s="46" t="s">
        <v>547</v>
      </c>
      <c r="C22" s="48"/>
      <c r="D22" s="49" t="s">
        <v>546</v>
      </c>
      <c r="E22" s="150">
        <f t="shared" ref="E22" si="3">0.75*0.75*0.6*20</f>
        <v>6.7499999999999991</v>
      </c>
      <c r="F22" s="97">
        <v>5000000</v>
      </c>
      <c r="G22" s="94">
        <f t="shared" si="1"/>
        <v>33749999.999999993</v>
      </c>
    </row>
    <row r="23" spans="1:7" s="50" customFormat="1" ht="15" customHeight="1">
      <c r="A23" s="45">
        <v>4</v>
      </c>
      <c r="B23" s="46" t="s">
        <v>602</v>
      </c>
      <c r="C23" s="48"/>
      <c r="D23" s="49" t="s">
        <v>37</v>
      </c>
      <c r="E23" s="153">
        <f t="shared" ref="E23" si="4">SUM(E24:E53)</f>
        <v>296.35255000000001</v>
      </c>
      <c r="F23" s="97">
        <v>75000</v>
      </c>
      <c r="G23" s="94">
        <f t="shared" ref="G23" si="5">E23*F23</f>
        <v>22226441.25</v>
      </c>
    </row>
    <row r="24" spans="1:7" ht="15" customHeight="1">
      <c r="A24" s="41"/>
      <c r="B24" s="517" t="s">
        <v>632</v>
      </c>
      <c r="C24" s="43"/>
      <c r="D24" s="49" t="s">
        <v>37</v>
      </c>
      <c r="E24" s="150">
        <f t="shared" ref="E24" si="6">0.75*0.75*0.6*20</f>
        <v>6.7499999999999991</v>
      </c>
      <c r="F24" s="94">
        <f>Analisa!F88</f>
        <v>174000</v>
      </c>
      <c r="G24" s="94">
        <f t="shared" si="1"/>
        <v>1174499.9999999998</v>
      </c>
    </row>
    <row r="25" spans="1:7" s="55" customFormat="1" ht="15" customHeight="1">
      <c r="A25" s="51"/>
      <c r="B25" s="52"/>
      <c r="C25" s="53"/>
      <c r="D25" s="54"/>
      <c r="E25" s="153">
        <f t="shared" ref="E25" si="7">SUM(E26:E55)</f>
        <v>168.04339999999999</v>
      </c>
      <c r="F25" s="99"/>
      <c r="G25" s="100">
        <f>SUM(G9:G24)</f>
        <v>553460654.99999988</v>
      </c>
    </row>
    <row r="26" spans="1:7" s="40" customFormat="1" ht="15" customHeight="1">
      <c r="A26" s="36" t="s">
        <v>44</v>
      </c>
      <c r="B26" s="37" t="s">
        <v>171</v>
      </c>
      <c r="C26" s="38"/>
      <c r="D26" s="39"/>
      <c r="E26" s="150">
        <f t="shared" ref="E26" si="8">0.75*0.75*0.6*20</f>
        <v>6.7499999999999991</v>
      </c>
      <c r="F26" s="92"/>
      <c r="G26" s="92"/>
    </row>
    <row r="27" spans="1:7" s="139" customFormat="1" ht="15" customHeight="1">
      <c r="A27" s="171"/>
      <c r="B27" s="172" t="s">
        <v>257</v>
      </c>
      <c r="C27" s="173"/>
      <c r="D27" s="149"/>
      <c r="E27" s="153">
        <f>SUM(E28:E57)</f>
        <v>83.467699999999994</v>
      </c>
      <c r="F27" s="151"/>
      <c r="G27" s="151"/>
    </row>
    <row r="28" spans="1:7" s="139" customFormat="1" ht="15" customHeight="1">
      <c r="A28" s="147">
        <v>1</v>
      </c>
      <c r="B28" s="131" t="s">
        <v>236</v>
      </c>
      <c r="C28" s="169" t="s">
        <v>618</v>
      </c>
      <c r="D28" s="149" t="s">
        <v>37</v>
      </c>
      <c r="E28" s="150">
        <f>0.75*0.75*0.6*20</f>
        <v>6.7499999999999991</v>
      </c>
      <c r="F28" s="151">
        <f>'AN BETON'!F190</f>
        <v>2911807.7524190857</v>
      </c>
      <c r="G28" s="151">
        <f t="shared" ref="G28:G30" si="9">E28*F28</f>
        <v>19654702.328828827</v>
      </c>
    </row>
    <row r="29" spans="1:7" s="139" customFormat="1" ht="15" customHeight="1">
      <c r="A29" s="147">
        <f t="shared" ref="A29:A35" si="10">1+A28</f>
        <v>2</v>
      </c>
      <c r="B29" s="131" t="s">
        <v>237</v>
      </c>
      <c r="C29" s="169" t="s">
        <v>618</v>
      </c>
      <c r="D29" s="149" t="s">
        <v>37</v>
      </c>
      <c r="E29" s="174">
        <f>1.5*0.75*0.6*1</f>
        <v>0.67499999999999993</v>
      </c>
      <c r="F29" s="151">
        <f>'AN BETON'!F196</f>
        <v>2859557.7886886885</v>
      </c>
      <c r="G29" s="151">
        <f t="shared" si="9"/>
        <v>1930201.5073648645</v>
      </c>
    </row>
    <row r="30" spans="1:7" s="139" customFormat="1" ht="15" customHeight="1">
      <c r="A30" s="147">
        <f t="shared" si="10"/>
        <v>3</v>
      </c>
      <c r="B30" s="131" t="s">
        <v>242</v>
      </c>
      <c r="C30" s="169" t="s">
        <v>618</v>
      </c>
      <c r="D30" s="149" t="s">
        <v>37</v>
      </c>
      <c r="E30" s="174">
        <f>0.2*0.4*51.5</f>
        <v>4.120000000000001</v>
      </c>
      <c r="F30" s="151">
        <f>'AN BETON'!F98</f>
        <v>3438458.46875</v>
      </c>
      <c r="G30" s="151">
        <f t="shared" si="9"/>
        <v>14166448.891250003</v>
      </c>
    </row>
    <row r="31" spans="1:7" s="139" customFormat="1" ht="15" customHeight="1">
      <c r="A31" s="147">
        <f t="shared" si="10"/>
        <v>4</v>
      </c>
      <c r="B31" s="131" t="s">
        <v>246</v>
      </c>
      <c r="C31" s="169" t="s">
        <v>618</v>
      </c>
      <c r="D31" s="149" t="s">
        <v>37</v>
      </c>
      <c r="E31" s="150">
        <v>0</v>
      </c>
      <c r="F31" s="151">
        <v>0</v>
      </c>
      <c r="G31" s="151">
        <f t="shared" ref="G31" si="11">E31*F31</f>
        <v>0</v>
      </c>
    </row>
    <row r="32" spans="1:7" s="139" customFormat="1" ht="15" customHeight="1">
      <c r="A32" s="147">
        <f t="shared" si="10"/>
        <v>5</v>
      </c>
      <c r="B32" s="131" t="s">
        <v>241</v>
      </c>
      <c r="C32" s="169" t="s">
        <v>618</v>
      </c>
      <c r="D32" s="149" t="s">
        <v>37</v>
      </c>
      <c r="E32" s="174">
        <f>0.2*0.4*6.75</f>
        <v>0.54000000000000015</v>
      </c>
      <c r="F32" s="151">
        <f>'AN BETON'!F116</f>
        <v>3555941.6010698196</v>
      </c>
      <c r="G32" s="151">
        <f>E32*F32</f>
        <v>1920208.464577703</v>
      </c>
    </row>
    <row r="33" spans="1:7" s="139" customFormat="1" ht="15" customHeight="1">
      <c r="A33" s="147">
        <f t="shared" si="10"/>
        <v>6</v>
      </c>
      <c r="B33" s="131" t="s">
        <v>244</v>
      </c>
      <c r="C33" s="169" t="s">
        <v>618</v>
      </c>
      <c r="D33" s="149" t="s">
        <v>37</v>
      </c>
      <c r="E33" s="150">
        <f>0.2*0.4*43.35</f>
        <v>3.4680000000000009</v>
      </c>
      <c r="F33" s="151">
        <f>'AN BETON'!F122</f>
        <v>3961120.492398649</v>
      </c>
      <c r="G33" s="151">
        <f t="shared" ref="G33:G35" si="12">E33*F33</f>
        <v>13737165.867638517</v>
      </c>
    </row>
    <row r="34" spans="1:7" s="139" customFormat="1" ht="15" customHeight="1">
      <c r="A34" s="147">
        <f t="shared" si="10"/>
        <v>7</v>
      </c>
      <c r="B34" s="131" t="s">
        <v>245</v>
      </c>
      <c r="C34" s="169" t="s">
        <v>618</v>
      </c>
      <c r="D34" s="149" t="s">
        <v>37</v>
      </c>
      <c r="E34" s="150">
        <f>0.2*0.4*12.9</f>
        <v>1.0320000000000003</v>
      </c>
      <c r="F34" s="151">
        <f>'AN BETON'!F128</f>
        <v>4320740.1911599096</v>
      </c>
      <c r="G34" s="151">
        <f t="shared" si="12"/>
        <v>4459003.8772770278</v>
      </c>
    </row>
    <row r="35" spans="1:7" s="139" customFormat="1" ht="15" customHeight="1">
      <c r="A35" s="147">
        <f t="shared" si="10"/>
        <v>8</v>
      </c>
      <c r="B35" s="131" t="s">
        <v>243</v>
      </c>
      <c r="C35" s="169" t="s">
        <v>618</v>
      </c>
      <c r="D35" s="149" t="s">
        <v>37</v>
      </c>
      <c r="E35" s="150">
        <f>0.2*0.4*7.5</f>
        <v>0.60000000000000009</v>
      </c>
      <c r="F35" s="151">
        <f>'AN BETON'!F134</f>
        <v>4103175.796452703</v>
      </c>
      <c r="G35" s="151">
        <f t="shared" si="12"/>
        <v>2461905.477871622</v>
      </c>
    </row>
    <row r="36" spans="1:7" s="139" customFormat="1" ht="15" customHeight="1">
      <c r="A36" s="171"/>
      <c r="B36" s="172" t="s">
        <v>258</v>
      </c>
      <c r="C36" s="173"/>
      <c r="D36" s="149"/>
      <c r="E36" s="153"/>
      <c r="F36" s="151"/>
      <c r="G36" s="151"/>
    </row>
    <row r="37" spans="1:7" s="139" customFormat="1" ht="15" customHeight="1">
      <c r="A37" s="147">
        <v>1</v>
      </c>
      <c r="B37" s="131" t="s">
        <v>236</v>
      </c>
      <c r="C37" s="169" t="s">
        <v>618</v>
      </c>
      <c r="D37" s="149" t="s">
        <v>37</v>
      </c>
      <c r="E37" s="150">
        <f>0.75*0.75*0.6*7</f>
        <v>2.3624999999999998</v>
      </c>
      <c r="F37" s="151">
        <f>F28</f>
        <v>2911807.7524190857</v>
      </c>
      <c r="G37" s="151">
        <f t="shared" ref="G37:G39" si="13">E37*F37</f>
        <v>6879145.8150900891</v>
      </c>
    </row>
    <row r="38" spans="1:7" s="139" customFormat="1" ht="15" customHeight="1">
      <c r="A38" s="147">
        <f t="shared" ref="A38:A40" si="14">1+A37</f>
        <v>2</v>
      </c>
      <c r="B38" s="131" t="s">
        <v>237</v>
      </c>
      <c r="C38" s="169" t="s">
        <v>618</v>
      </c>
      <c r="D38" s="149" t="s">
        <v>37</v>
      </c>
      <c r="E38" s="174">
        <v>0</v>
      </c>
      <c r="F38" s="151">
        <v>0</v>
      </c>
      <c r="G38" s="151">
        <f t="shared" si="13"/>
        <v>0</v>
      </c>
    </row>
    <row r="39" spans="1:7" s="139" customFormat="1" ht="15" customHeight="1">
      <c r="A39" s="147">
        <f t="shared" si="14"/>
        <v>3</v>
      </c>
      <c r="B39" s="131" t="s">
        <v>242</v>
      </c>
      <c r="C39" s="169" t="s">
        <v>618</v>
      </c>
      <c r="D39" s="149" t="s">
        <v>37</v>
      </c>
      <c r="E39" s="174">
        <f>0.2*0.4*23.85</f>
        <v>1.9080000000000006</v>
      </c>
      <c r="F39" s="151">
        <f>F30</f>
        <v>3438458.46875</v>
      </c>
      <c r="G39" s="151">
        <f t="shared" si="13"/>
        <v>6560578.7583750021</v>
      </c>
    </row>
    <row r="40" spans="1:7" s="139" customFormat="1" ht="15" customHeight="1">
      <c r="A40" s="147">
        <f t="shared" si="14"/>
        <v>4</v>
      </c>
      <c r="B40" s="131" t="s">
        <v>241</v>
      </c>
      <c r="C40" s="169" t="s">
        <v>618</v>
      </c>
      <c r="D40" s="149" t="s">
        <v>37</v>
      </c>
      <c r="E40" s="174">
        <f>0.2*0.4*13.95</f>
        <v>1.1160000000000001</v>
      </c>
      <c r="F40" s="151">
        <f>F32</f>
        <v>3555941.6010698196</v>
      </c>
      <c r="G40" s="151">
        <f>E40*F40</f>
        <v>3968430.8267939193</v>
      </c>
    </row>
    <row r="41" spans="1:7" s="139" customFormat="1" ht="15" customHeight="1">
      <c r="A41" s="171"/>
      <c r="B41" s="172" t="s">
        <v>259</v>
      </c>
      <c r="C41" s="173"/>
      <c r="D41" s="149"/>
      <c r="E41" s="153"/>
      <c r="F41" s="151"/>
      <c r="G41" s="151"/>
    </row>
    <row r="42" spans="1:7" s="139" customFormat="1" ht="15" customHeight="1">
      <c r="A42" s="147">
        <v>1</v>
      </c>
      <c r="B42" s="131" t="s">
        <v>236</v>
      </c>
      <c r="C42" s="169" t="s">
        <v>618</v>
      </c>
      <c r="D42" s="149" t="s">
        <v>37</v>
      </c>
      <c r="E42" s="150">
        <v>0</v>
      </c>
      <c r="F42" s="151">
        <v>0</v>
      </c>
      <c r="G42" s="151">
        <f t="shared" ref="G42:G45" si="15">E42*F42</f>
        <v>0</v>
      </c>
    </row>
    <row r="43" spans="1:7" s="139" customFormat="1" ht="15" customHeight="1">
      <c r="A43" s="147">
        <f t="shared" ref="A43:A45" si="16">1+A42</f>
        <v>2</v>
      </c>
      <c r="B43" s="131" t="s">
        <v>237</v>
      </c>
      <c r="C43" s="169" t="s">
        <v>618</v>
      </c>
      <c r="D43" s="149" t="s">
        <v>37</v>
      </c>
      <c r="E43" s="174">
        <v>0</v>
      </c>
      <c r="F43" s="151">
        <v>0</v>
      </c>
      <c r="G43" s="151">
        <f t="shared" si="15"/>
        <v>0</v>
      </c>
    </row>
    <row r="44" spans="1:7" s="139" customFormat="1" ht="15" customHeight="1">
      <c r="A44" s="147">
        <f t="shared" si="16"/>
        <v>3</v>
      </c>
      <c r="B44" s="131" t="s">
        <v>242</v>
      </c>
      <c r="C44" s="169" t="s">
        <v>618</v>
      </c>
      <c r="D44" s="149" t="s">
        <v>37</v>
      </c>
      <c r="E44" s="174">
        <v>0</v>
      </c>
      <c r="F44" s="151">
        <v>0</v>
      </c>
      <c r="G44" s="151">
        <f t="shared" si="15"/>
        <v>0</v>
      </c>
    </row>
    <row r="45" spans="1:7" s="139" customFormat="1" ht="15" customHeight="1">
      <c r="A45" s="147">
        <f t="shared" si="16"/>
        <v>4</v>
      </c>
      <c r="B45" s="131" t="s">
        <v>246</v>
      </c>
      <c r="C45" s="169" t="s">
        <v>618</v>
      </c>
      <c r="D45" s="149" t="s">
        <v>37</v>
      </c>
      <c r="E45" s="150">
        <v>0</v>
      </c>
      <c r="F45" s="151">
        <v>0</v>
      </c>
      <c r="G45" s="151">
        <f t="shared" si="15"/>
        <v>0</v>
      </c>
    </row>
    <row r="46" spans="1:7" ht="15" customHeight="1">
      <c r="A46" s="41"/>
      <c r="B46" s="172" t="s">
        <v>293</v>
      </c>
      <c r="C46" s="56"/>
      <c r="D46" s="44"/>
      <c r="E46" s="101"/>
      <c r="F46" s="94"/>
      <c r="G46" s="94"/>
    </row>
    <row r="47" spans="1:7" ht="15" customHeight="1">
      <c r="A47" s="41">
        <f>1+A45</f>
        <v>5</v>
      </c>
      <c r="B47" s="42" t="s">
        <v>172</v>
      </c>
      <c r="C47" s="56" t="s">
        <v>618</v>
      </c>
      <c r="D47" s="44" t="s">
        <v>37</v>
      </c>
      <c r="E47" s="101">
        <v>0</v>
      </c>
      <c r="F47" s="94">
        <v>0</v>
      </c>
      <c r="G47" s="94">
        <f t="shared" ref="G47:G57" si="17">E47*F47</f>
        <v>0</v>
      </c>
    </row>
    <row r="48" spans="1:7" ht="15" customHeight="1">
      <c r="A48" s="41">
        <f t="shared" ref="A48:A50" si="18">1+A47</f>
        <v>6</v>
      </c>
      <c r="B48" s="42" t="s">
        <v>173</v>
      </c>
      <c r="C48" s="56"/>
      <c r="D48" s="44" t="s">
        <v>37</v>
      </c>
      <c r="E48" s="101">
        <v>0</v>
      </c>
      <c r="F48" s="94">
        <v>0</v>
      </c>
      <c r="G48" s="94">
        <f t="shared" si="17"/>
        <v>0</v>
      </c>
    </row>
    <row r="49" spans="1:9" ht="15" customHeight="1">
      <c r="A49" s="41">
        <f t="shared" si="18"/>
        <v>7</v>
      </c>
      <c r="B49" s="42" t="s">
        <v>45</v>
      </c>
      <c r="C49" s="57"/>
      <c r="D49" s="44" t="s">
        <v>37</v>
      </c>
      <c r="E49" s="93">
        <f>56.26*0.05</f>
        <v>2.8130000000000002</v>
      </c>
      <c r="F49" s="94">
        <f>Analisa!F49</f>
        <v>859459.4</v>
      </c>
      <c r="G49" s="94">
        <f t="shared" si="17"/>
        <v>2417659.2922</v>
      </c>
    </row>
    <row r="50" spans="1:9" ht="26.4">
      <c r="A50" s="41">
        <f t="shared" si="18"/>
        <v>8</v>
      </c>
      <c r="B50" s="58" t="s">
        <v>46</v>
      </c>
      <c r="C50" s="43"/>
      <c r="D50" s="44" t="s">
        <v>37</v>
      </c>
      <c r="E50" s="101">
        <f>6.75*22.2*0.03+6.7*7.15*0.03-2.7*1.7*0.03</f>
        <v>5.79495</v>
      </c>
      <c r="F50" s="94">
        <f>F49</f>
        <v>859459.4</v>
      </c>
      <c r="G50" s="94">
        <f t="shared" si="17"/>
        <v>4980524.2500299998</v>
      </c>
    </row>
    <row r="51" spans="1:9" ht="15" customHeight="1">
      <c r="A51" s="41"/>
      <c r="B51" s="42"/>
      <c r="C51" s="43"/>
      <c r="D51" s="44"/>
      <c r="E51" s="93"/>
      <c r="F51" s="94"/>
      <c r="G51" s="94">
        <f t="shared" si="17"/>
        <v>0</v>
      </c>
    </row>
    <row r="52" spans="1:9" ht="15" customHeight="1">
      <c r="A52" s="45"/>
      <c r="B52" s="46" t="s">
        <v>29</v>
      </c>
      <c r="C52" s="43"/>
      <c r="D52" s="44"/>
      <c r="E52" s="61"/>
      <c r="F52" s="94"/>
      <c r="G52" s="94">
        <f t="shared" si="17"/>
        <v>0</v>
      </c>
    </row>
    <row r="53" spans="1:9" ht="15" customHeight="1">
      <c r="A53" s="45">
        <v>1</v>
      </c>
      <c r="B53" s="155" t="s">
        <v>521</v>
      </c>
      <c r="C53" s="48" t="s">
        <v>618</v>
      </c>
      <c r="D53" s="49" t="s">
        <v>37</v>
      </c>
      <c r="E53" s="96">
        <f>0.15*0.4*2.7</f>
        <v>0.16200000000000001</v>
      </c>
      <c r="F53" s="94">
        <f>'AN BETON'!F56</f>
        <v>5140696.5840840852</v>
      </c>
      <c r="G53" s="94">
        <f t="shared" si="17"/>
        <v>832792.84662162187</v>
      </c>
    </row>
    <row r="54" spans="1:9" ht="15" customHeight="1">
      <c r="A54" s="45">
        <v>2</v>
      </c>
      <c r="B54" s="46" t="s">
        <v>590</v>
      </c>
      <c r="C54" s="48" t="s">
        <v>618</v>
      </c>
      <c r="D54" s="49" t="s">
        <v>37</v>
      </c>
      <c r="E54" s="96">
        <f>6.75*22.5*0.15+6.7*7.15*0.15</f>
        <v>29.966999999999999</v>
      </c>
      <c r="F54" s="94">
        <f>'AN BETON'!F373</f>
        <v>3931140.0051870053</v>
      </c>
      <c r="G54" s="94">
        <f t="shared" si="17"/>
        <v>117804472.53543898</v>
      </c>
      <c r="I54" s="50"/>
    </row>
    <row r="55" spans="1:9" ht="15" customHeight="1">
      <c r="A55" s="45">
        <v>3</v>
      </c>
      <c r="B55" s="46" t="s">
        <v>538</v>
      </c>
      <c r="C55" s="48" t="s">
        <v>618</v>
      </c>
      <c r="D55" s="49" t="s">
        <v>37</v>
      </c>
      <c r="E55" s="96">
        <f>69.3*1.35*0.15+27.6*0.6*0.15</f>
        <v>16.517250000000001</v>
      </c>
      <c r="F55" s="94">
        <f>'AN BETON'!F388</f>
        <v>4538619.803166803</v>
      </c>
      <c r="G55" s="94">
        <f t="shared" si="17"/>
        <v>74965517.94385688</v>
      </c>
    </row>
    <row r="56" spans="1:9" ht="15" customHeight="1">
      <c r="A56" s="45">
        <v>4</v>
      </c>
      <c r="B56" s="46" t="s">
        <v>539</v>
      </c>
      <c r="C56" s="48" t="s">
        <v>618</v>
      </c>
      <c r="D56" s="49" t="s">
        <v>37</v>
      </c>
      <c r="E56" s="96">
        <f>3*2.7*0.15+(0.15*0.4/2)*2.7*7</f>
        <v>1.782</v>
      </c>
      <c r="F56" s="94">
        <f>'AN BETON'!F394</f>
        <v>4327946.4178931201</v>
      </c>
      <c r="G56" s="94">
        <f t="shared" si="17"/>
        <v>7712400.5166855399</v>
      </c>
    </row>
    <row r="57" spans="1:9" ht="15" customHeight="1">
      <c r="A57" s="41"/>
      <c r="B57" s="42" t="s">
        <v>633</v>
      </c>
      <c r="C57" s="43"/>
      <c r="D57" s="49" t="s">
        <v>37</v>
      </c>
      <c r="E57" s="61">
        <v>3.86</v>
      </c>
      <c r="F57" s="94">
        <f>F56</f>
        <v>4327946.4178931201</v>
      </c>
      <c r="G57" s="94">
        <f t="shared" si="17"/>
        <v>16705873.173067443</v>
      </c>
    </row>
    <row r="58" spans="1:9" s="55" customFormat="1" ht="15" customHeight="1">
      <c r="A58" s="51"/>
      <c r="B58" s="52"/>
      <c r="C58" s="53"/>
      <c r="D58" s="54"/>
      <c r="E58" s="98"/>
      <c r="F58" s="99"/>
      <c r="G58" s="100">
        <f>SUM(G27:G57)</f>
        <v>301157032.37296808</v>
      </c>
    </row>
    <row r="59" spans="1:9" s="40" customFormat="1" ht="15" customHeight="1">
      <c r="A59" s="36" t="s">
        <v>52</v>
      </c>
      <c r="B59" s="37" t="s">
        <v>53</v>
      </c>
      <c r="C59" s="38"/>
      <c r="D59" s="39"/>
      <c r="E59" s="91"/>
      <c r="F59" s="92"/>
      <c r="G59" s="92"/>
    </row>
    <row r="60" spans="1:9" ht="15" customHeight="1">
      <c r="A60" s="41">
        <v>1</v>
      </c>
      <c r="B60" s="127" t="s">
        <v>174</v>
      </c>
      <c r="C60" s="57" t="s">
        <v>55</v>
      </c>
      <c r="D60" s="44" t="s">
        <v>40</v>
      </c>
      <c r="E60" s="102">
        <v>0</v>
      </c>
      <c r="F60" s="94">
        <v>0</v>
      </c>
      <c r="G60" s="94">
        <f>E60*F60</f>
        <v>0</v>
      </c>
      <c r="H60" s="50"/>
    </row>
    <row r="61" spans="1:9" ht="15" customHeight="1">
      <c r="A61" s="41">
        <f>1+A60</f>
        <v>2</v>
      </c>
      <c r="B61" s="42" t="s">
        <v>175</v>
      </c>
      <c r="C61" s="57" t="s">
        <v>57</v>
      </c>
      <c r="D61" s="44" t="s">
        <v>40</v>
      </c>
      <c r="E61" s="102">
        <v>0</v>
      </c>
      <c r="F61" s="94">
        <v>0</v>
      </c>
      <c r="G61" s="94">
        <f t="shared" ref="G61:G72" si="19">E61*F61</f>
        <v>0</v>
      </c>
    </row>
    <row r="62" spans="1:9" ht="15" customHeight="1">
      <c r="A62" s="41">
        <f t="shared" ref="A62:A67" si="20">1+A61</f>
        <v>3</v>
      </c>
      <c r="B62" s="42" t="s">
        <v>58</v>
      </c>
      <c r="C62" s="57" t="s">
        <v>57</v>
      </c>
      <c r="D62" s="44" t="s">
        <v>40</v>
      </c>
      <c r="E62" s="102">
        <v>296.58999999999997</v>
      </c>
      <c r="F62" s="94">
        <f>80000+Analisa!F122</f>
        <v>136880</v>
      </c>
      <c r="G62" s="94">
        <f t="shared" si="19"/>
        <v>40597239.199999996</v>
      </c>
    </row>
    <row r="63" spans="1:9" ht="15" customHeight="1">
      <c r="A63" s="41">
        <f t="shared" si="20"/>
        <v>4</v>
      </c>
      <c r="B63" s="42" t="s">
        <v>176</v>
      </c>
      <c r="C63" s="57" t="s">
        <v>57</v>
      </c>
      <c r="D63" s="44" t="s">
        <v>40</v>
      </c>
      <c r="E63" s="102">
        <f>10*4.2-0.9*2</f>
        <v>40.200000000000003</v>
      </c>
      <c r="F63" s="94">
        <f>Analisa!F122+Analisa!F131</f>
        <v>71271.199999999997</v>
      </c>
      <c r="G63" s="94">
        <f t="shared" si="19"/>
        <v>2865102.24</v>
      </c>
    </row>
    <row r="64" spans="1:9" ht="15" customHeight="1">
      <c r="A64" s="41">
        <f t="shared" si="20"/>
        <v>5</v>
      </c>
      <c r="B64" s="42" t="s">
        <v>59</v>
      </c>
      <c r="C64" s="43"/>
      <c r="D64" s="44" t="s">
        <v>23</v>
      </c>
      <c r="E64" s="102">
        <f>170</f>
        <v>170</v>
      </c>
      <c r="F64" s="94">
        <f>Analisa!F126</f>
        <v>21776.94</v>
      </c>
      <c r="G64" s="94">
        <f t="shared" si="19"/>
        <v>3702079.8</v>
      </c>
    </row>
    <row r="65" spans="1:10" ht="15" hidden="1" customHeight="1">
      <c r="A65" s="41">
        <f t="shared" si="20"/>
        <v>6</v>
      </c>
      <c r="B65" s="42" t="s">
        <v>60</v>
      </c>
      <c r="C65" s="57" t="s">
        <v>57</v>
      </c>
      <c r="D65" s="44" t="s">
        <v>40</v>
      </c>
      <c r="E65" s="453"/>
      <c r="F65" s="94"/>
      <c r="G65" s="94">
        <f t="shared" si="19"/>
        <v>0</v>
      </c>
    </row>
    <row r="66" spans="1:10" ht="15" hidden="1" customHeight="1">
      <c r="A66" s="41">
        <f t="shared" si="20"/>
        <v>7</v>
      </c>
      <c r="B66" s="42" t="s">
        <v>61</v>
      </c>
      <c r="C66" s="57"/>
      <c r="D66" s="44" t="s">
        <v>40</v>
      </c>
      <c r="E66" s="453"/>
      <c r="F66" s="94"/>
      <c r="G66" s="94">
        <f t="shared" si="19"/>
        <v>0</v>
      </c>
    </row>
    <row r="67" spans="1:10" ht="15" customHeight="1">
      <c r="A67" s="41">
        <f t="shared" si="20"/>
        <v>8</v>
      </c>
      <c r="B67" s="42" t="s">
        <v>177</v>
      </c>
      <c r="C67" s="43"/>
      <c r="D67" s="44" t="s">
        <v>23</v>
      </c>
      <c r="E67" s="102">
        <v>0</v>
      </c>
      <c r="F67" s="94">
        <v>0</v>
      </c>
      <c r="G67" s="94">
        <f t="shared" si="19"/>
        <v>0</v>
      </c>
    </row>
    <row r="68" spans="1:10" ht="15" customHeight="1">
      <c r="A68" s="41"/>
      <c r="B68" s="42"/>
      <c r="C68" s="43"/>
      <c r="D68" s="44"/>
      <c r="E68" s="102"/>
      <c r="F68" s="94"/>
      <c r="G68" s="94">
        <f t="shared" si="19"/>
        <v>0</v>
      </c>
    </row>
    <row r="69" spans="1:10" ht="15" customHeight="1">
      <c r="A69" s="45"/>
      <c r="B69" s="46" t="s">
        <v>29</v>
      </c>
      <c r="C69" s="43"/>
      <c r="D69" s="44"/>
      <c r="E69" s="61"/>
      <c r="F69" s="94"/>
      <c r="G69" s="94">
        <f t="shared" si="19"/>
        <v>0</v>
      </c>
    </row>
    <row r="70" spans="1:10" ht="15" customHeight="1">
      <c r="A70" s="45">
        <v>1</v>
      </c>
      <c r="B70" s="46"/>
      <c r="C70" s="43"/>
      <c r="D70" s="44"/>
      <c r="E70" s="61"/>
      <c r="F70" s="94"/>
      <c r="G70" s="94">
        <f t="shared" si="19"/>
        <v>0</v>
      </c>
    </row>
    <row r="71" spans="1:10" ht="15" customHeight="1">
      <c r="A71" s="45">
        <f>1+A70</f>
        <v>2</v>
      </c>
      <c r="B71" s="46"/>
      <c r="C71" s="43"/>
      <c r="D71" s="44"/>
      <c r="E71" s="61"/>
      <c r="F71" s="94"/>
      <c r="G71" s="94">
        <f t="shared" si="19"/>
        <v>0</v>
      </c>
    </row>
    <row r="72" spans="1:10" ht="15" customHeight="1">
      <c r="A72" s="41"/>
      <c r="B72" s="11"/>
      <c r="C72" s="43"/>
      <c r="D72" s="10"/>
      <c r="E72" s="102"/>
      <c r="F72" s="94"/>
      <c r="G72" s="94">
        <f t="shared" si="19"/>
        <v>0</v>
      </c>
    </row>
    <row r="73" spans="1:10" s="55" customFormat="1" ht="15" customHeight="1">
      <c r="A73" s="51"/>
      <c r="B73" s="52"/>
      <c r="C73" s="53"/>
      <c r="D73" s="54"/>
      <c r="E73" s="98"/>
      <c r="F73" s="99"/>
      <c r="G73" s="100">
        <f>SUM(G60:G72)</f>
        <v>47164421.239999995</v>
      </c>
    </row>
    <row r="74" spans="1:10" s="40" customFormat="1" ht="15" customHeight="1">
      <c r="A74" s="36" t="s">
        <v>51</v>
      </c>
      <c r="B74" s="37" t="s">
        <v>63</v>
      </c>
      <c r="C74" s="38"/>
      <c r="D74" s="39"/>
      <c r="E74" s="91"/>
      <c r="F74" s="92"/>
      <c r="G74" s="92"/>
    </row>
    <row r="75" spans="1:10" ht="26.4">
      <c r="A75" s="41">
        <v>1</v>
      </c>
      <c r="B75" s="59" t="s">
        <v>178</v>
      </c>
      <c r="C75" s="60" t="s">
        <v>297</v>
      </c>
      <c r="D75" s="44" t="s">
        <v>40</v>
      </c>
      <c r="E75" s="103">
        <f>6.7*7+(6.7+7+6.7+7)*0.6</f>
        <v>63.339999999999996</v>
      </c>
      <c r="F75" s="94">
        <f>570000*1.1+120000+50000</f>
        <v>797000</v>
      </c>
      <c r="G75" s="94">
        <f>E75*F75</f>
        <v>50481980</v>
      </c>
      <c r="I75" s="477"/>
      <c r="J75" s="50"/>
    </row>
    <row r="76" spans="1:10" ht="26.4">
      <c r="A76" s="41">
        <f>A75+1</f>
        <v>2</v>
      </c>
      <c r="B76" s="59" t="s">
        <v>179</v>
      </c>
      <c r="C76" s="60" t="s">
        <v>297</v>
      </c>
      <c r="D76" s="44" t="s">
        <v>40</v>
      </c>
      <c r="E76" s="103">
        <f>22.5*6.75+(22.5+6.75+22.5+6.75)*1.35+4*1.3+1.5*(1.3/2)</f>
        <v>237.02500000000001</v>
      </c>
      <c r="F76" s="94">
        <f>F75</f>
        <v>797000</v>
      </c>
      <c r="G76" s="94">
        <f t="shared" ref="G76:G86" si="21">E76*F76</f>
        <v>188908925</v>
      </c>
      <c r="H76" s="50"/>
    </row>
    <row r="77" spans="1:10" ht="26.4">
      <c r="A77" s="41">
        <f t="shared" ref="A77:A79" si="22">A76+1</f>
        <v>3</v>
      </c>
      <c r="B77" s="59" t="s">
        <v>298</v>
      </c>
      <c r="C77" s="60" t="s">
        <v>299</v>
      </c>
      <c r="D77" s="44" t="s">
        <v>40</v>
      </c>
      <c r="E77" s="103">
        <f>1*53+0.6*4</f>
        <v>55.4</v>
      </c>
      <c r="F77" s="94">
        <f>250000*1.15+Analisa!F212</f>
        <v>418153.84113680152</v>
      </c>
      <c r="G77" s="94">
        <f t="shared" si="21"/>
        <v>23165722.798978806</v>
      </c>
    </row>
    <row r="78" spans="1:10" ht="15" customHeight="1">
      <c r="A78" s="41">
        <f t="shared" si="22"/>
        <v>4</v>
      </c>
      <c r="B78" s="59" t="s">
        <v>180</v>
      </c>
      <c r="C78" s="60" t="s">
        <v>181</v>
      </c>
      <c r="D78" s="44" t="s">
        <v>40</v>
      </c>
      <c r="E78" s="103">
        <f>E75+E76</f>
        <v>300.36500000000001</v>
      </c>
      <c r="F78" s="94">
        <v>75000</v>
      </c>
      <c r="G78" s="94">
        <f t="shared" si="21"/>
        <v>22527375</v>
      </c>
    </row>
    <row r="79" spans="1:10" ht="15" customHeight="1">
      <c r="A79" s="41">
        <f t="shared" si="22"/>
        <v>5</v>
      </c>
      <c r="B79" s="59" t="s">
        <v>182</v>
      </c>
      <c r="C79" s="60"/>
      <c r="D79" s="44" t="s">
        <v>75</v>
      </c>
      <c r="E79" s="103">
        <f>53+8+10.2</f>
        <v>71.2</v>
      </c>
      <c r="F79" s="94">
        <v>95000</v>
      </c>
      <c r="G79" s="94">
        <f t="shared" si="21"/>
        <v>6764000</v>
      </c>
    </row>
    <row r="80" spans="1:10" ht="15" customHeight="1">
      <c r="A80" s="41">
        <f t="shared" ref="A80:A81" si="23">A79+1</f>
        <v>6</v>
      </c>
      <c r="B80" s="59" t="s">
        <v>329</v>
      </c>
      <c r="C80" s="60"/>
      <c r="D80" s="44" t="s">
        <v>40</v>
      </c>
      <c r="E80" s="518">
        <f>4.6*1.6*0</f>
        <v>0</v>
      </c>
      <c r="F80" s="94">
        <f>RAB!F135</f>
        <v>208062.5</v>
      </c>
      <c r="G80" s="94">
        <f t="shared" si="21"/>
        <v>0</v>
      </c>
    </row>
    <row r="81" spans="1:8" ht="15" customHeight="1">
      <c r="A81" s="41">
        <f t="shared" si="23"/>
        <v>7</v>
      </c>
      <c r="B81" s="59" t="s">
        <v>183</v>
      </c>
      <c r="C81" s="60"/>
      <c r="D81" s="44" t="s">
        <v>40</v>
      </c>
      <c r="E81" s="103">
        <f>(10*4.2-0.9*2)*0+4.6*4.2</f>
        <v>19.32</v>
      </c>
      <c r="F81" s="94">
        <f>RAB!F124</f>
        <v>65000</v>
      </c>
      <c r="G81" s="94">
        <f t="shared" si="21"/>
        <v>1255800</v>
      </c>
    </row>
    <row r="82" spans="1:8" ht="15" customHeight="1">
      <c r="A82" s="41"/>
      <c r="B82" s="11"/>
      <c r="C82" s="43"/>
      <c r="D82" s="44"/>
      <c r="E82" s="61"/>
      <c r="F82" s="94"/>
      <c r="G82" s="94">
        <f t="shared" si="21"/>
        <v>0</v>
      </c>
    </row>
    <row r="83" spans="1:8" ht="15" customHeight="1">
      <c r="A83" s="45"/>
      <c r="B83" s="46" t="s">
        <v>29</v>
      </c>
      <c r="C83" s="43"/>
      <c r="D83" s="44"/>
      <c r="E83" s="61"/>
      <c r="F83" s="94"/>
      <c r="G83" s="94">
        <f t="shared" si="21"/>
        <v>0</v>
      </c>
    </row>
    <row r="84" spans="1:8" ht="15" customHeight="1">
      <c r="A84" s="45">
        <v>1</v>
      </c>
      <c r="B84" s="46"/>
      <c r="C84" s="43"/>
      <c r="D84" s="44"/>
      <c r="E84" s="61"/>
      <c r="F84" s="94"/>
      <c r="G84" s="94">
        <f t="shared" si="21"/>
        <v>0</v>
      </c>
    </row>
    <row r="85" spans="1:8" ht="15" customHeight="1">
      <c r="A85" s="45">
        <v>2</v>
      </c>
      <c r="B85" s="46"/>
      <c r="C85" s="43"/>
      <c r="D85" s="44"/>
      <c r="E85" s="61"/>
      <c r="F85" s="94"/>
      <c r="G85" s="94">
        <f t="shared" si="21"/>
        <v>0</v>
      </c>
    </row>
    <row r="86" spans="1:8" ht="15" customHeight="1">
      <c r="A86" s="41"/>
      <c r="B86" s="11"/>
      <c r="C86" s="43"/>
      <c r="D86" s="44"/>
      <c r="E86" s="61"/>
      <c r="F86" s="94"/>
      <c r="G86" s="94">
        <f t="shared" si="21"/>
        <v>0</v>
      </c>
    </row>
    <row r="87" spans="1:8" s="55" customFormat="1" ht="15" customHeight="1">
      <c r="A87" s="51"/>
      <c r="B87" s="52"/>
      <c r="C87" s="53"/>
      <c r="D87" s="54"/>
      <c r="E87" s="98"/>
      <c r="F87" s="99"/>
      <c r="G87" s="100">
        <f>SUM(G75:G86)</f>
        <v>293103802.79897881</v>
      </c>
    </row>
    <row r="88" spans="1:8" s="40" customFormat="1" ht="15" customHeight="1">
      <c r="A88" s="36" t="s">
        <v>52</v>
      </c>
      <c r="B88" s="37" t="s">
        <v>184</v>
      </c>
      <c r="C88" s="38"/>
      <c r="D88" s="39"/>
      <c r="E88" s="91"/>
      <c r="F88" s="92"/>
      <c r="G88" s="92"/>
    </row>
    <row r="89" spans="1:8" ht="15" customHeight="1">
      <c r="A89" s="41">
        <v>1</v>
      </c>
      <c r="B89" s="42" t="s">
        <v>224</v>
      </c>
      <c r="C89" s="43" t="s">
        <v>223</v>
      </c>
      <c r="D89" s="44" t="s">
        <v>21</v>
      </c>
      <c r="E89" s="101">
        <v>1</v>
      </c>
      <c r="F89" s="94">
        <v>18550000</v>
      </c>
      <c r="G89" s="94">
        <f>E89*F89</f>
        <v>18550000</v>
      </c>
    </row>
    <row r="90" spans="1:8" ht="15" customHeight="1">
      <c r="A90" s="41">
        <f>A89+1</f>
        <v>2</v>
      </c>
      <c r="B90" s="42" t="s">
        <v>225</v>
      </c>
      <c r="C90" s="43" t="s">
        <v>192</v>
      </c>
      <c r="D90" s="44" t="s">
        <v>21</v>
      </c>
      <c r="E90" s="101">
        <v>1</v>
      </c>
      <c r="F90" s="94">
        <f>F89</f>
        <v>18550000</v>
      </c>
      <c r="G90" s="94">
        <f t="shared" ref="G90:G123" si="24">E90*F90</f>
        <v>18550000</v>
      </c>
    </row>
    <row r="91" spans="1:8" ht="15" customHeight="1">
      <c r="A91" s="41">
        <f t="shared" ref="A91:A94" si="25">A90+1</f>
        <v>3</v>
      </c>
      <c r="B91" s="42" t="s">
        <v>226</v>
      </c>
      <c r="C91" s="43"/>
      <c r="D91" s="44" t="s">
        <v>21</v>
      </c>
      <c r="E91" s="101">
        <v>0</v>
      </c>
      <c r="F91" s="94">
        <v>0</v>
      </c>
      <c r="G91" s="94">
        <f t="shared" si="24"/>
        <v>0</v>
      </c>
    </row>
    <row r="92" spans="1:8" ht="15" customHeight="1">
      <c r="A92" s="41">
        <f t="shared" si="25"/>
        <v>4</v>
      </c>
      <c r="B92" s="42" t="s">
        <v>227</v>
      </c>
      <c r="C92" s="43"/>
      <c r="D92" s="44" t="s">
        <v>21</v>
      </c>
      <c r="E92" s="101">
        <v>0</v>
      </c>
      <c r="F92" s="94">
        <v>0</v>
      </c>
      <c r="G92" s="94">
        <f t="shared" si="24"/>
        <v>0</v>
      </c>
      <c r="H92" s="50"/>
    </row>
    <row r="93" spans="1:8" ht="15" customHeight="1">
      <c r="A93" s="41">
        <f t="shared" si="25"/>
        <v>5</v>
      </c>
      <c r="B93" s="42" t="s">
        <v>185</v>
      </c>
      <c r="C93" s="43"/>
      <c r="D93" s="44" t="s">
        <v>128</v>
      </c>
      <c r="E93" s="101">
        <v>5</v>
      </c>
      <c r="F93" s="94">
        <v>2700000</v>
      </c>
      <c r="G93" s="94">
        <f t="shared" si="24"/>
        <v>13500000</v>
      </c>
    </row>
    <row r="94" spans="1:8" ht="15" customHeight="1">
      <c r="A94" s="41">
        <f t="shared" si="25"/>
        <v>6</v>
      </c>
      <c r="B94" s="42" t="s">
        <v>186</v>
      </c>
      <c r="C94" s="43" t="s">
        <v>187</v>
      </c>
      <c r="D94" s="44" t="s">
        <v>35</v>
      </c>
      <c r="E94" s="101">
        <v>0</v>
      </c>
      <c r="F94" s="94">
        <v>0</v>
      </c>
      <c r="G94" s="94">
        <f t="shared" si="24"/>
        <v>0</v>
      </c>
    </row>
    <row r="95" spans="1:8" ht="15" customHeight="1">
      <c r="A95" s="41">
        <f t="shared" ref="A95:A117" si="26">A94+1</f>
        <v>7</v>
      </c>
      <c r="B95" s="42" t="s">
        <v>188</v>
      </c>
      <c r="C95" s="43" t="s">
        <v>189</v>
      </c>
      <c r="D95" s="44" t="s">
        <v>21</v>
      </c>
      <c r="E95" s="101">
        <v>1</v>
      </c>
      <c r="F95" s="94">
        <v>51000000</v>
      </c>
      <c r="G95" s="94">
        <f t="shared" si="24"/>
        <v>51000000</v>
      </c>
    </row>
    <row r="96" spans="1:8" ht="15" customHeight="1">
      <c r="A96" s="41">
        <f t="shared" si="26"/>
        <v>8</v>
      </c>
      <c r="B96" s="42" t="s">
        <v>190</v>
      </c>
      <c r="C96" s="43" t="s">
        <v>191</v>
      </c>
      <c r="D96" s="44" t="s">
        <v>128</v>
      </c>
      <c r="E96" s="101">
        <v>0</v>
      </c>
      <c r="F96" s="94">
        <v>0</v>
      </c>
      <c r="G96" s="94">
        <f t="shared" si="24"/>
        <v>0</v>
      </c>
    </row>
    <row r="97" spans="1:8" ht="15" customHeight="1">
      <c r="A97" s="41">
        <f t="shared" si="26"/>
        <v>9</v>
      </c>
      <c r="B97" s="42" t="s">
        <v>221</v>
      </c>
      <c r="C97" s="43" t="s">
        <v>192</v>
      </c>
      <c r="D97" s="44" t="s">
        <v>21</v>
      </c>
      <c r="E97" s="101">
        <v>0</v>
      </c>
      <c r="F97" s="94">
        <v>0</v>
      </c>
      <c r="G97" s="94">
        <f t="shared" si="24"/>
        <v>0</v>
      </c>
    </row>
    <row r="98" spans="1:8" ht="15" customHeight="1">
      <c r="A98" s="41">
        <f t="shared" si="26"/>
        <v>10</v>
      </c>
      <c r="B98" s="42" t="s">
        <v>222</v>
      </c>
      <c r="C98" s="43" t="s">
        <v>192</v>
      </c>
      <c r="D98" s="44" t="s">
        <v>21</v>
      </c>
      <c r="E98" s="101">
        <v>0</v>
      </c>
      <c r="F98" s="94">
        <v>0</v>
      </c>
      <c r="G98" s="94">
        <f t="shared" si="24"/>
        <v>0</v>
      </c>
    </row>
    <row r="99" spans="1:8" ht="15" customHeight="1">
      <c r="A99" s="41">
        <f t="shared" si="26"/>
        <v>11</v>
      </c>
      <c r="B99" s="42" t="s">
        <v>193</v>
      </c>
      <c r="C99" s="43"/>
      <c r="D99" s="44" t="s">
        <v>21</v>
      </c>
      <c r="E99" s="101">
        <v>12</v>
      </c>
      <c r="F99" s="94">
        <v>265000</v>
      </c>
      <c r="G99" s="94">
        <f t="shared" si="24"/>
        <v>3180000</v>
      </c>
    </row>
    <row r="100" spans="1:8" ht="15" customHeight="1">
      <c r="A100" s="41">
        <f t="shared" si="26"/>
        <v>12</v>
      </c>
      <c r="B100" s="42" t="s">
        <v>194</v>
      </c>
      <c r="C100" s="43"/>
      <c r="D100" s="44" t="s">
        <v>128</v>
      </c>
      <c r="E100" s="101">
        <v>0</v>
      </c>
      <c r="F100" s="94">
        <v>0</v>
      </c>
      <c r="G100" s="94">
        <f t="shared" si="24"/>
        <v>0</v>
      </c>
    </row>
    <row r="101" spans="1:8" ht="15" customHeight="1">
      <c r="A101" s="41">
        <f t="shared" si="26"/>
        <v>13</v>
      </c>
      <c r="B101" s="42" t="s">
        <v>218</v>
      </c>
      <c r="C101" s="43"/>
      <c r="D101" s="44" t="s">
        <v>21</v>
      </c>
      <c r="E101" s="101">
        <v>0</v>
      </c>
      <c r="F101" s="94">
        <v>0</v>
      </c>
      <c r="G101" s="94">
        <f t="shared" si="24"/>
        <v>0</v>
      </c>
    </row>
    <row r="102" spans="1:8" ht="15" customHeight="1">
      <c r="A102" s="41">
        <f t="shared" si="26"/>
        <v>14</v>
      </c>
      <c r="B102" s="42" t="s">
        <v>195</v>
      </c>
      <c r="C102" s="43"/>
      <c r="D102" s="44" t="s">
        <v>21</v>
      </c>
      <c r="E102" s="101">
        <v>3</v>
      </c>
      <c r="F102" s="94">
        <v>1650000</v>
      </c>
      <c r="G102" s="94">
        <f t="shared" si="24"/>
        <v>4950000</v>
      </c>
    </row>
    <row r="103" spans="1:8" ht="15" customHeight="1">
      <c r="A103" s="41">
        <f t="shared" si="26"/>
        <v>15</v>
      </c>
      <c r="B103" s="127" t="s">
        <v>219</v>
      </c>
      <c r="C103" s="43"/>
      <c r="D103" s="44" t="s">
        <v>21</v>
      </c>
      <c r="E103" s="101">
        <v>0</v>
      </c>
      <c r="F103" s="94">
        <v>0</v>
      </c>
      <c r="G103" s="94">
        <f t="shared" si="24"/>
        <v>0</v>
      </c>
    </row>
    <row r="104" spans="1:8" ht="15" customHeight="1">
      <c r="A104" s="41">
        <f t="shared" si="26"/>
        <v>16</v>
      </c>
      <c r="B104" s="127" t="s">
        <v>220</v>
      </c>
      <c r="C104" s="43"/>
      <c r="D104" s="44" t="s">
        <v>21</v>
      </c>
      <c r="E104" s="101">
        <v>0</v>
      </c>
      <c r="F104" s="94">
        <v>0</v>
      </c>
      <c r="G104" s="94">
        <f t="shared" si="24"/>
        <v>0</v>
      </c>
    </row>
    <row r="105" spans="1:8" ht="15" customHeight="1">
      <c r="A105" s="41">
        <f t="shared" si="26"/>
        <v>17</v>
      </c>
      <c r="B105" s="127" t="s">
        <v>196</v>
      </c>
      <c r="C105" s="43"/>
      <c r="D105" s="44" t="s">
        <v>21</v>
      </c>
      <c r="E105" s="101">
        <v>8</v>
      </c>
      <c r="F105" s="94">
        <v>2350000</v>
      </c>
      <c r="G105" s="94">
        <f t="shared" si="24"/>
        <v>18800000</v>
      </c>
      <c r="H105" s="50"/>
    </row>
    <row r="106" spans="1:8" ht="15" customHeight="1">
      <c r="A106" s="41">
        <f t="shared" si="26"/>
        <v>18</v>
      </c>
      <c r="B106" s="42" t="s">
        <v>197</v>
      </c>
      <c r="C106" s="43"/>
      <c r="D106" s="44" t="s">
        <v>21</v>
      </c>
      <c r="E106" s="101">
        <v>0</v>
      </c>
      <c r="F106" s="94">
        <v>0</v>
      </c>
      <c r="G106" s="94">
        <f t="shared" si="24"/>
        <v>0</v>
      </c>
    </row>
    <row r="107" spans="1:8" ht="15" customHeight="1">
      <c r="A107" s="41">
        <f t="shared" si="26"/>
        <v>19</v>
      </c>
      <c r="B107" s="42" t="s">
        <v>198</v>
      </c>
      <c r="C107" s="43"/>
      <c r="D107" s="44" t="s">
        <v>21</v>
      </c>
      <c r="E107" s="101">
        <v>0</v>
      </c>
      <c r="F107" s="94">
        <v>0</v>
      </c>
      <c r="G107" s="94">
        <f t="shared" si="24"/>
        <v>0</v>
      </c>
    </row>
    <row r="108" spans="1:8" ht="15" customHeight="1">
      <c r="A108" s="41">
        <f t="shared" si="26"/>
        <v>20</v>
      </c>
      <c r="B108" s="42" t="s">
        <v>199</v>
      </c>
      <c r="C108" s="43"/>
      <c r="D108" s="44" t="s">
        <v>25</v>
      </c>
      <c r="E108" s="101">
        <v>1</v>
      </c>
      <c r="F108" s="94">
        <v>7000000</v>
      </c>
      <c r="G108" s="94">
        <f t="shared" si="24"/>
        <v>7000000</v>
      </c>
    </row>
    <row r="109" spans="1:8" ht="15" customHeight="1">
      <c r="A109" s="41">
        <f t="shared" si="26"/>
        <v>21</v>
      </c>
      <c r="B109" s="42" t="s">
        <v>200</v>
      </c>
      <c r="C109" s="43"/>
      <c r="D109" s="44" t="s">
        <v>21</v>
      </c>
      <c r="E109" s="101">
        <v>1</v>
      </c>
      <c r="F109" s="94">
        <v>23400000</v>
      </c>
      <c r="G109" s="94">
        <f t="shared" si="24"/>
        <v>23400000</v>
      </c>
    </row>
    <row r="110" spans="1:8" ht="15" hidden="1" customHeight="1">
      <c r="A110" s="41" t="e">
        <f>#REF!+1</f>
        <v>#REF!</v>
      </c>
      <c r="B110" s="42" t="s">
        <v>160</v>
      </c>
      <c r="C110" s="43"/>
      <c r="D110" s="44" t="s">
        <v>21</v>
      </c>
      <c r="E110" s="98"/>
      <c r="F110" s="94"/>
      <c r="G110" s="94">
        <f t="shared" si="24"/>
        <v>0</v>
      </c>
    </row>
    <row r="111" spans="1:8" ht="15" customHeight="1">
      <c r="A111" s="41">
        <f>+A109+1</f>
        <v>22</v>
      </c>
      <c r="B111" s="42" t="s">
        <v>201</v>
      </c>
      <c r="C111" s="43"/>
      <c r="D111" s="44" t="s">
        <v>21</v>
      </c>
      <c r="E111" s="101">
        <v>6</v>
      </c>
      <c r="F111" s="94">
        <f>5000000</f>
        <v>5000000</v>
      </c>
      <c r="G111" s="94">
        <f t="shared" si="24"/>
        <v>30000000</v>
      </c>
    </row>
    <row r="112" spans="1:8" ht="15" customHeight="1">
      <c r="A112" s="41">
        <f t="shared" si="26"/>
        <v>23</v>
      </c>
      <c r="B112" s="42" t="s">
        <v>202</v>
      </c>
      <c r="C112" s="43"/>
      <c r="D112" s="44" t="s">
        <v>21</v>
      </c>
      <c r="E112" s="101">
        <v>1</v>
      </c>
      <c r="F112" s="94">
        <v>1000000</v>
      </c>
      <c r="G112" s="94">
        <f t="shared" si="24"/>
        <v>1000000</v>
      </c>
    </row>
    <row r="113" spans="1:9" ht="15" customHeight="1">
      <c r="A113" s="41">
        <f t="shared" si="26"/>
        <v>24</v>
      </c>
      <c r="B113" s="42" t="s">
        <v>203</v>
      </c>
      <c r="C113" s="43" t="s">
        <v>204</v>
      </c>
      <c r="D113" s="44" t="s">
        <v>21</v>
      </c>
      <c r="E113" s="101">
        <v>1</v>
      </c>
      <c r="F113" s="94">
        <v>1000000</v>
      </c>
      <c r="G113" s="94">
        <f t="shared" si="24"/>
        <v>1000000</v>
      </c>
    </row>
    <row r="114" spans="1:9" ht="15" customHeight="1">
      <c r="A114" s="41">
        <f t="shared" si="26"/>
        <v>25</v>
      </c>
      <c r="B114" s="42" t="s">
        <v>205</v>
      </c>
      <c r="C114" s="43"/>
      <c r="D114" s="44" t="s">
        <v>21</v>
      </c>
      <c r="E114" s="101">
        <v>0</v>
      </c>
      <c r="F114" s="94">
        <v>0</v>
      </c>
      <c r="G114" s="94">
        <f t="shared" si="24"/>
        <v>0</v>
      </c>
    </row>
    <row r="115" spans="1:9" ht="15" customHeight="1">
      <c r="A115" s="41">
        <f t="shared" si="26"/>
        <v>26</v>
      </c>
      <c r="B115" s="42" t="s">
        <v>206</v>
      </c>
      <c r="C115" s="43"/>
      <c r="D115" s="44" t="s">
        <v>542</v>
      </c>
      <c r="E115" s="101">
        <v>220</v>
      </c>
      <c r="F115" s="94">
        <v>75000</v>
      </c>
      <c r="G115" s="94">
        <f t="shared" si="24"/>
        <v>16500000</v>
      </c>
    </row>
    <row r="116" spans="1:9" ht="15" customHeight="1">
      <c r="A116" s="41">
        <f t="shared" si="26"/>
        <v>27</v>
      </c>
      <c r="B116" s="42" t="s">
        <v>207</v>
      </c>
      <c r="C116" s="43"/>
      <c r="D116" s="44" t="s">
        <v>21</v>
      </c>
      <c r="E116" s="101">
        <v>0</v>
      </c>
      <c r="F116" s="94">
        <v>0</v>
      </c>
      <c r="G116" s="94">
        <f t="shared" si="24"/>
        <v>0</v>
      </c>
    </row>
    <row r="117" spans="1:9" ht="15" customHeight="1">
      <c r="A117" s="41">
        <f t="shared" si="26"/>
        <v>28</v>
      </c>
      <c r="B117" s="42" t="s">
        <v>208</v>
      </c>
      <c r="C117" s="43"/>
      <c r="D117" s="44" t="s">
        <v>21</v>
      </c>
      <c r="E117" s="101">
        <v>0</v>
      </c>
      <c r="F117" s="94">
        <v>0</v>
      </c>
      <c r="G117" s="94">
        <f t="shared" si="24"/>
        <v>0</v>
      </c>
    </row>
    <row r="118" spans="1:9" ht="15" customHeight="1">
      <c r="A118" s="41"/>
      <c r="B118" s="42"/>
      <c r="C118" s="43"/>
      <c r="D118" s="44"/>
      <c r="E118" s="101"/>
      <c r="F118" s="94"/>
      <c r="G118" s="94">
        <f t="shared" si="24"/>
        <v>0</v>
      </c>
    </row>
    <row r="119" spans="1:9" ht="15" customHeight="1">
      <c r="A119" s="45"/>
      <c r="B119" s="46" t="s">
        <v>29</v>
      </c>
      <c r="C119" s="43"/>
      <c r="D119" s="44"/>
      <c r="E119" s="61"/>
      <c r="F119" s="94"/>
      <c r="G119" s="94">
        <f t="shared" si="24"/>
        <v>0</v>
      </c>
    </row>
    <row r="120" spans="1:9" ht="15" customHeight="1">
      <c r="A120" s="45">
        <v>1</v>
      </c>
      <c r="B120" s="46" t="s">
        <v>550</v>
      </c>
      <c r="C120" s="43" t="s">
        <v>192</v>
      </c>
      <c r="D120" s="44" t="s">
        <v>21</v>
      </c>
      <c r="E120" s="61">
        <v>2</v>
      </c>
      <c r="F120" s="94">
        <v>20808000</v>
      </c>
      <c r="G120" s="94">
        <f t="shared" si="24"/>
        <v>41616000</v>
      </c>
    </row>
    <row r="121" spans="1:9" ht="15" customHeight="1">
      <c r="A121" s="45">
        <f>A120+1</f>
        <v>2</v>
      </c>
      <c r="B121" s="46" t="s">
        <v>551</v>
      </c>
      <c r="C121" s="43"/>
      <c r="D121" s="44" t="s">
        <v>513</v>
      </c>
      <c r="E121" s="61">
        <v>1</v>
      </c>
      <c r="F121" s="94">
        <v>5600000</v>
      </c>
      <c r="G121" s="94">
        <f t="shared" si="24"/>
        <v>5600000</v>
      </c>
    </row>
    <row r="122" spans="1:9" ht="15" customHeight="1">
      <c r="A122" s="45">
        <v>3</v>
      </c>
      <c r="B122" s="46" t="s">
        <v>576</v>
      </c>
      <c r="C122" s="43"/>
      <c r="D122" s="44" t="s">
        <v>128</v>
      </c>
      <c r="E122" s="61">
        <v>5</v>
      </c>
      <c r="F122" s="94">
        <v>235000</v>
      </c>
      <c r="G122" s="94">
        <f t="shared" si="24"/>
        <v>1175000</v>
      </c>
    </row>
    <row r="123" spans="1:9" ht="15" customHeight="1">
      <c r="A123" s="41"/>
      <c r="B123" s="42" t="s">
        <v>634</v>
      </c>
      <c r="C123" s="43"/>
      <c r="D123" s="44" t="s">
        <v>75</v>
      </c>
      <c r="E123" s="101">
        <v>40</v>
      </c>
      <c r="F123" s="94">
        <f>RAB!F210</f>
        <v>87111.25</v>
      </c>
      <c r="G123" s="94">
        <f t="shared" si="24"/>
        <v>3484450</v>
      </c>
    </row>
    <row r="124" spans="1:9" s="55" customFormat="1" ht="15" customHeight="1">
      <c r="A124" s="51"/>
      <c r="B124" s="52"/>
      <c r="C124" s="53"/>
      <c r="D124" s="54"/>
      <c r="E124" s="98"/>
      <c r="F124" s="99"/>
      <c r="G124" s="100">
        <f>SUM(G89:G123)</f>
        <v>259305450</v>
      </c>
    </row>
    <row r="125" spans="1:9" s="40" customFormat="1" ht="15" customHeight="1">
      <c r="A125" s="36" t="s">
        <v>62</v>
      </c>
      <c r="B125" s="37" t="s">
        <v>162</v>
      </c>
      <c r="C125" s="38"/>
      <c r="D125" s="39"/>
      <c r="E125" s="91"/>
      <c r="F125" s="92"/>
      <c r="G125" s="92"/>
    </row>
    <row r="126" spans="1:9" ht="15" customHeight="1">
      <c r="A126" s="41">
        <v>1</v>
      </c>
      <c r="B126" s="11" t="s">
        <v>209</v>
      </c>
      <c r="C126" s="43"/>
      <c r="D126" s="44" t="s">
        <v>542</v>
      </c>
      <c r="E126" s="61">
        <f>0.317*7</f>
        <v>2.2189999999999999</v>
      </c>
      <c r="F126" s="94">
        <f>Analisa!F104*10</f>
        <v>929890</v>
      </c>
      <c r="G126" s="94">
        <f t="shared" ref="G126:G137" si="27">E126*F126</f>
        <v>2063425.91</v>
      </c>
      <c r="I126" s="50"/>
    </row>
    <row r="127" spans="1:9" s="2" customFormat="1" ht="15" customHeight="1">
      <c r="A127" s="41">
        <f>A126+1</f>
        <v>2</v>
      </c>
      <c r="B127" s="128" t="s">
        <v>210</v>
      </c>
      <c r="C127" s="129" t="s">
        <v>211</v>
      </c>
      <c r="D127" s="44" t="s">
        <v>78</v>
      </c>
      <c r="E127" s="101">
        <f>E75+E76</f>
        <v>300.36500000000001</v>
      </c>
      <c r="F127" s="519">
        <f>990000/30*3.5+15000+Analisa!F117</f>
        <v>197997.47500000001</v>
      </c>
      <c r="G127" s="94">
        <f t="shared" si="27"/>
        <v>59471511.578375004</v>
      </c>
    </row>
    <row r="128" spans="1:9" s="2" customFormat="1" ht="15" customHeight="1">
      <c r="A128" s="41">
        <f>A127+1</f>
        <v>3</v>
      </c>
      <c r="B128" s="128" t="s">
        <v>212</v>
      </c>
      <c r="C128" s="130"/>
      <c r="D128" s="44" t="s">
        <v>75</v>
      </c>
      <c r="E128" s="101">
        <f>2*0</f>
        <v>0</v>
      </c>
      <c r="F128" s="104">
        <v>2800000</v>
      </c>
      <c r="G128" s="94">
        <f t="shared" si="27"/>
        <v>0</v>
      </c>
    </row>
    <row r="129" spans="1:9" ht="15" customHeight="1">
      <c r="A129" s="41">
        <f t="shared" ref="A129:A131" si="28">A128+1</f>
        <v>4</v>
      </c>
      <c r="B129" s="42" t="s">
        <v>213</v>
      </c>
      <c r="C129" s="43"/>
      <c r="D129" s="44" t="s">
        <v>25</v>
      </c>
      <c r="E129" s="61">
        <v>0</v>
      </c>
      <c r="F129" s="94">
        <v>0</v>
      </c>
      <c r="G129" s="94">
        <f t="shared" si="27"/>
        <v>0</v>
      </c>
    </row>
    <row r="130" spans="1:9" ht="15" customHeight="1">
      <c r="A130" s="41">
        <f t="shared" si="28"/>
        <v>5</v>
      </c>
      <c r="B130" s="42" t="s">
        <v>214</v>
      </c>
      <c r="C130" s="43"/>
      <c r="D130" s="44" t="s">
        <v>25</v>
      </c>
      <c r="E130" s="61">
        <v>1</v>
      </c>
      <c r="F130" s="488">
        <v>5000000</v>
      </c>
      <c r="G130" s="94">
        <f t="shared" si="27"/>
        <v>5000000</v>
      </c>
    </row>
    <row r="131" spans="1:9" ht="15" customHeight="1">
      <c r="A131" s="41">
        <f t="shared" si="28"/>
        <v>6</v>
      </c>
      <c r="B131" s="42" t="s">
        <v>217</v>
      </c>
      <c r="C131" s="43"/>
      <c r="D131" s="44" t="s">
        <v>25</v>
      </c>
      <c r="E131" s="98">
        <f>1*0</f>
        <v>0</v>
      </c>
      <c r="F131" s="94">
        <f>(195000+30000+400000)*28</f>
        <v>17500000</v>
      </c>
      <c r="G131" s="94">
        <f t="shared" si="27"/>
        <v>0</v>
      </c>
      <c r="I131" s="50"/>
    </row>
    <row r="132" spans="1:9" ht="15" customHeight="1">
      <c r="A132" s="41"/>
      <c r="B132" s="42"/>
      <c r="C132" s="43"/>
      <c r="D132" s="44"/>
      <c r="E132" s="61"/>
      <c r="F132" s="94"/>
      <c r="G132" s="94">
        <f t="shared" si="27"/>
        <v>0</v>
      </c>
      <c r="I132" s="476"/>
    </row>
    <row r="133" spans="1:9" ht="15" customHeight="1">
      <c r="A133" s="45"/>
      <c r="B133" s="46" t="s">
        <v>29</v>
      </c>
      <c r="C133" s="43"/>
      <c r="D133" s="44"/>
      <c r="E133" s="61"/>
      <c r="F133" s="94"/>
      <c r="G133" s="94">
        <f t="shared" si="27"/>
        <v>0</v>
      </c>
    </row>
    <row r="134" spans="1:9" ht="15" customHeight="1">
      <c r="A134" s="45">
        <v>1</v>
      </c>
      <c r="B134" s="46" t="s">
        <v>589</v>
      </c>
      <c r="C134" s="43"/>
      <c r="D134" s="44" t="s">
        <v>542</v>
      </c>
      <c r="E134" s="61">
        <v>220</v>
      </c>
      <c r="F134" s="94">
        <f>F115</f>
        <v>75000</v>
      </c>
      <c r="G134" s="94">
        <f t="shared" si="27"/>
        <v>16500000</v>
      </c>
    </row>
    <row r="135" spans="1:9" ht="15" customHeight="1">
      <c r="A135" s="45">
        <f>1+A134</f>
        <v>2</v>
      </c>
      <c r="B135" s="46"/>
      <c r="C135" s="43"/>
      <c r="D135" s="44"/>
      <c r="E135" s="61"/>
      <c r="F135" s="94"/>
      <c r="G135" s="94">
        <f t="shared" si="27"/>
        <v>0</v>
      </c>
    </row>
    <row r="136" spans="1:9" ht="15" customHeight="1">
      <c r="A136" s="45"/>
      <c r="B136" s="46"/>
      <c r="C136" s="43"/>
      <c r="D136" s="44"/>
      <c r="E136" s="61"/>
      <c r="F136" s="94"/>
      <c r="G136" s="94">
        <f t="shared" si="27"/>
        <v>0</v>
      </c>
    </row>
    <row r="137" spans="1:9" ht="15" customHeight="1">
      <c r="A137" s="41"/>
      <c r="B137" s="42"/>
      <c r="C137" s="43"/>
      <c r="D137" s="44"/>
      <c r="E137" s="61"/>
      <c r="F137" s="94"/>
      <c r="G137" s="94">
        <f t="shared" si="27"/>
        <v>0</v>
      </c>
    </row>
    <row r="138" spans="1:9" s="55" customFormat="1" ht="15" customHeight="1">
      <c r="A138" s="62"/>
      <c r="B138" s="63"/>
      <c r="C138" s="64"/>
      <c r="D138" s="65"/>
      <c r="E138" s="105"/>
      <c r="F138" s="99"/>
      <c r="G138" s="99">
        <f>SUM(G126:G137)</f>
        <v>83034937.488375008</v>
      </c>
    </row>
    <row r="139" spans="1:9" ht="15" customHeight="1">
      <c r="A139" s="66"/>
      <c r="B139" s="67"/>
      <c r="C139" s="68"/>
      <c r="D139" s="69"/>
      <c r="E139" s="106"/>
      <c r="F139" s="70"/>
      <c r="G139" s="107">
        <f>G25+G58+G73+G87+G124+G138</f>
        <v>1537226298.9003217</v>
      </c>
    </row>
    <row r="140" spans="1:9" ht="15" customHeight="1">
      <c r="A140" s="71"/>
      <c r="B140" s="72"/>
      <c r="C140" s="73"/>
      <c r="D140" s="74"/>
      <c r="E140" s="108"/>
      <c r="F140" s="73"/>
      <c r="G140" s="109">
        <f>0.1*G139</f>
        <v>153722629.89003217</v>
      </c>
    </row>
    <row r="141" spans="1:9" ht="15" customHeight="1">
      <c r="A141" s="75"/>
      <c r="B141" s="76"/>
      <c r="C141" s="77"/>
      <c r="D141" s="78"/>
      <c r="E141" s="110"/>
      <c r="F141" s="77"/>
      <c r="G141" s="111">
        <f>SUM(G139:G140)</f>
        <v>1690948928.7903538</v>
      </c>
      <c r="I141" s="472">
        <f>G141/465</f>
        <v>3636449.3092265674</v>
      </c>
    </row>
    <row r="142" spans="1:9" ht="15" customHeight="1">
      <c r="A142" s="29"/>
      <c r="B142" s="32"/>
      <c r="C142" s="29"/>
      <c r="D142" s="29"/>
      <c r="E142" s="112"/>
      <c r="F142" s="113"/>
      <c r="G142" s="114"/>
    </row>
    <row r="143" spans="1:9" ht="15" customHeight="1">
      <c r="A143" s="29"/>
      <c r="B143" s="32"/>
      <c r="C143" s="29"/>
      <c r="D143" s="29"/>
      <c r="E143" s="115"/>
      <c r="F143" s="89"/>
      <c r="G143" s="29"/>
    </row>
    <row r="144" spans="1:9" ht="15" customHeight="1">
      <c r="A144" s="116"/>
      <c r="B144" s="32"/>
      <c r="C144" s="29"/>
      <c r="D144" s="29"/>
      <c r="E144" s="115"/>
      <c r="F144" s="89"/>
      <c r="G144" s="29"/>
    </row>
    <row r="145" spans="1:7" ht="15" customHeight="1">
      <c r="A145" s="29"/>
      <c r="B145" s="32"/>
      <c r="C145" s="29"/>
      <c r="D145" s="29"/>
      <c r="E145" s="115"/>
      <c r="G145" s="89" t="s">
        <v>215</v>
      </c>
    </row>
    <row r="146" spans="1:7" ht="15" customHeight="1">
      <c r="A146" s="29"/>
      <c r="B146" s="32"/>
      <c r="C146" s="29"/>
      <c r="D146" s="29"/>
      <c r="E146" s="115"/>
      <c r="G146" s="117"/>
    </row>
    <row r="147" spans="1:7" ht="15" customHeight="1">
      <c r="A147" s="29"/>
      <c r="B147" s="32"/>
      <c r="C147" s="29"/>
      <c r="D147" s="29"/>
      <c r="E147" s="115"/>
      <c r="G147" s="89"/>
    </row>
    <row r="148" spans="1:7" ht="15" customHeight="1">
      <c r="A148" s="29"/>
      <c r="B148" s="32"/>
      <c r="C148" s="29"/>
      <c r="D148" s="29"/>
      <c r="E148" s="115"/>
      <c r="G148" s="118"/>
    </row>
    <row r="149" spans="1:7" ht="15" customHeight="1">
      <c r="A149" s="29"/>
      <c r="B149" s="32"/>
      <c r="C149" s="29"/>
      <c r="D149" s="29"/>
      <c r="E149" s="115"/>
      <c r="G149" s="119"/>
    </row>
    <row r="150" spans="1:7" ht="15" customHeight="1">
      <c r="A150" s="29"/>
      <c r="B150" s="32"/>
      <c r="C150" s="29"/>
      <c r="D150" s="29"/>
      <c r="E150" s="115"/>
      <c r="G150" s="89"/>
    </row>
    <row r="151" spans="1:7" ht="15" customHeight="1">
      <c r="A151" s="29"/>
      <c r="B151" s="32"/>
      <c r="C151" s="29"/>
      <c r="D151" s="29"/>
      <c r="E151" s="115"/>
      <c r="G151" s="89"/>
    </row>
    <row r="152" spans="1:7" ht="15" customHeight="1">
      <c r="A152" s="29"/>
      <c r="B152" s="32"/>
      <c r="C152" s="29"/>
      <c r="D152" s="29"/>
      <c r="E152" s="115"/>
      <c r="F152" s="120"/>
      <c r="G152" s="89"/>
    </row>
    <row r="153" spans="1:7" ht="15" customHeight="1">
      <c r="A153" s="29"/>
      <c r="B153" s="32"/>
      <c r="C153" s="29"/>
      <c r="D153" s="29"/>
      <c r="E153" s="115"/>
      <c r="F153" s="89"/>
      <c r="G153" s="89"/>
    </row>
    <row r="154" spans="1:7" ht="15" customHeight="1">
      <c r="A154" s="29"/>
      <c r="B154" s="32"/>
      <c r="C154" s="29"/>
      <c r="D154" s="29"/>
      <c r="E154" s="115"/>
      <c r="F154" s="89"/>
      <c r="G154" s="89"/>
    </row>
    <row r="155" spans="1:7" ht="15" customHeight="1">
      <c r="A155" s="29"/>
      <c r="B155" s="32"/>
      <c r="C155" s="29"/>
      <c r="D155" s="29"/>
      <c r="E155" s="115"/>
      <c r="F155" s="89"/>
      <c r="G155" s="89"/>
    </row>
    <row r="156" spans="1:7" ht="15" customHeight="1">
      <c r="A156" s="29"/>
      <c r="B156" s="32"/>
      <c r="C156" s="29"/>
      <c r="D156" s="29"/>
      <c r="E156" s="115"/>
      <c r="F156" s="89"/>
      <c r="G156" s="89"/>
    </row>
    <row r="157" spans="1:7" ht="15" customHeight="1">
      <c r="A157" s="29"/>
      <c r="B157" s="32"/>
      <c r="C157" s="29"/>
      <c r="D157" s="29"/>
      <c r="E157" s="115"/>
      <c r="F157" s="89"/>
      <c r="G157" s="89"/>
    </row>
    <row r="158" spans="1:7" ht="15" customHeight="1">
      <c r="A158" s="29"/>
      <c r="B158" s="32"/>
      <c r="C158" s="29"/>
      <c r="D158" s="29"/>
      <c r="E158" s="115"/>
      <c r="F158" s="89"/>
      <c r="G158" s="89"/>
    </row>
    <row r="159" spans="1:7" ht="15" customHeight="1">
      <c r="A159" s="29"/>
      <c r="B159" s="32"/>
      <c r="C159" s="29"/>
      <c r="D159" s="29"/>
      <c r="E159" s="115"/>
      <c r="F159" s="89"/>
      <c r="G159" s="89"/>
    </row>
    <row r="160" spans="1:7" ht="15" customHeight="1">
      <c r="A160" s="29"/>
      <c r="B160" s="32"/>
      <c r="C160" s="29"/>
      <c r="D160" s="29"/>
      <c r="E160" s="115"/>
      <c r="F160" s="89"/>
      <c r="G160" s="89"/>
    </row>
    <row r="161" spans="1:7" ht="15" customHeight="1">
      <c r="A161" s="29"/>
      <c r="B161" s="32"/>
      <c r="C161" s="29"/>
      <c r="D161" s="29"/>
      <c r="E161" s="115"/>
      <c r="F161" s="89"/>
      <c r="G161" s="89"/>
    </row>
    <row r="162" spans="1:7" ht="15" customHeight="1">
      <c r="A162" s="29"/>
      <c r="B162" s="32"/>
      <c r="C162" s="29"/>
      <c r="D162" s="29"/>
      <c r="E162" s="115"/>
      <c r="F162" s="89"/>
      <c r="G162" s="89"/>
    </row>
    <row r="163" spans="1:7" ht="15" customHeight="1">
      <c r="A163" s="29"/>
      <c r="B163" s="32"/>
      <c r="C163" s="29"/>
      <c r="D163" s="29"/>
      <c r="E163" s="115"/>
      <c r="F163" s="89"/>
      <c r="G163" s="89"/>
    </row>
    <row r="164" spans="1:7" ht="15" customHeight="1">
      <c r="A164" s="29"/>
      <c r="B164" s="32"/>
      <c r="C164" s="29"/>
      <c r="D164" s="29"/>
      <c r="E164" s="115"/>
      <c r="F164" s="89"/>
      <c r="G164" s="89"/>
    </row>
    <row r="165" spans="1:7" ht="15" customHeight="1">
      <c r="A165" s="29"/>
      <c r="B165" s="32"/>
      <c r="C165" s="29"/>
      <c r="D165" s="29"/>
      <c r="E165" s="115"/>
      <c r="F165" s="89"/>
      <c r="G165" s="89"/>
    </row>
    <row r="166" spans="1:7" ht="15" customHeight="1">
      <c r="A166" s="29"/>
      <c r="B166" s="32"/>
      <c r="C166" s="29"/>
      <c r="D166" s="29"/>
      <c r="E166" s="115"/>
      <c r="F166" s="89"/>
      <c r="G166" s="89"/>
    </row>
    <row r="167" spans="1:7" ht="15" customHeight="1">
      <c r="A167" s="29"/>
      <c r="B167" s="32"/>
      <c r="C167" s="29"/>
      <c r="D167" s="29"/>
      <c r="E167" s="115"/>
      <c r="F167" s="89"/>
      <c r="G167" s="89"/>
    </row>
    <row r="168" spans="1:7" ht="15" customHeight="1">
      <c r="A168" s="29"/>
      <c r="B168" s="32"/>
      <c r="C168" s="29"/>
      <c r="D168" s="29"/>
      <c r="E168" s="115"/>
      <c r="F168" s="89"/>
      <c r="G168" s="89"/>
    </row>
    <row r="169" spans="1:7" ht="15" customHeight="1">
      <c r="A169" s="29"/>
      <c r="B169" s="32"/>
      <c r="C169" s="29"/>
      <c r="D169" s="29"/>
      <c r="E169" s="115"/>
      <c r="F169" s="89"/>
      <c r="G169" s="89"/>
    </row>
    <row r="170" spans="1:7" ht="15" customHeight="1">
      <c r="A170" s="29"/>
      <c r="B170" s="32"/>
      <c r="C170" s="29"/>
      <c r="D170" s="29"/>
      <c r="E170" s="115"/>
      <c r="F170" s="89"/>
      <c r="G170" s="89"/>
    </row>
    <row r="171" spans="1:7" ht="15" customHeight="1">
      <c r="A171" s="29"/>
      <c r="B171" s="32"/>
      <c r="C171" s="29"/>
      <c r="D171" s="29"/>
      <c r="E171" s="115"/>
      <c r="F171" s="89"/>
      <c r="G171" s="89"/>
    </row>
    <row r="172" spans="1:7" ht="15" customHeight="1">
      <c r="A172" s="29"/>
      <c r="B172" s="32"/>
      <c r="C172" s="29"/>
      <c r="D172" s="29"/>
      <c r="E172" s="115"/>
      <c r="F172" s="89"/>
      <c r="G172" s="89"/>
    </row>
    <row r="173" spans="1:7" ht="15" customHeight="1">
      <c r="A173" s="29"/>
      <c r="B173" s="32"/>
      <c r="C173" s="29"/>
      <c r="D173" s="29"/>
      <c r="E173" s="115"/>
      <c r="F173" s="89"/>
      <c r="G173" s="89"/>
    </row>
    <row r="174" spans="1:7" ht="15" customHeight="1">
      <c r="A174" s="29"/>
      <c r="B174" s="32"/>
      <c r="C174" s="29"/>
      <c r="D174" s="29"/>
      <c r="E174" s="115"/>
      <c r="F174" s="89"/>
      <c r="G174" s="89"/>
    </row>
    <row r="175" spans="1:7" ht="15" customHeight="1">
      <c r="A175" s="29"/>
      <c r="B175" s="32"/>
      <c r="C175" s="29"/>
      <c r="D175" s="29"/>
      <c r="E175" s="115"/>
      <c r="F175" s="89"/>
      <c r="G175" s="89"/>
    </row>
    <row r="176" spans="1:7" ht="15" customHeight="1">
      <c r="A176" s="29"/>
      <c r="B176" s="32"/>
      <c r="C176" s="29"/>
      <c r="D176" s="29"/>
      <c r="E176" s="115"/>
      <c r="F176" s="89"/>
      <c r="G176" s="89"/>
    </row>
    <row r="177" spans="1:7" ht="15" customHeight="1">
      <c r="A177" s="29"/>
      <c r="B177" s="32"/>
      <c r="C177" s="29"/>
      <c r="D177" s="29"/>
      <c r="E177" s="115"/>
      <c r="F177" s="89"/>
      <c r="G177" s="89"/>
    </row>
    <row r="178" spans="1:7" ht="15" customHeight="1">
      <c r="A178" s="29"/>
      <c r="B178" s="32"/>
      <c r="C178" s="29"/>
      <c r="D178" s="29"/>
      <c r="E178" s="115"/>
      <c r="F178" s="89"/>
      <c r="G178" s="89"/>
    </row>
    <row r="179" spans="1:7" ht="15" customHeight="1">
      <c r="A179" s="29"/>
      <c r="B179" s="32"/>
      <c r="C179" s="29"/>
      <c r="D179" s="29"/>
      <c r="E179" s="115"/>
      <c r="F179" s="89"/>
      <c r="G179" s="89"/>
    </row>
    <row r="180" spans="1:7" ht="15" customHeight="1">
      <c r="A180" s="29"/>
      <c r="B180" s="32"/>
      <c r="C180" s="29"/>
      <c r="D180" s="29"/>
      <c r="E180" s="115"/>
      <c r="F180" s="89"/>
      <c r="G180" s="89"/>
    </row>
    <row r="181" spans="1:7" ht="15" customHeight="1">
      <c r="A181" s="29"/>
      <c r="B181" s="32"/>
      <c r="C181" s="29"/>
      <c r="D181" s="29"/>
      <c r="E181" s="115"/>
      <c r="F181" s="89"/>
      <c r="G181" s="89"/>
    </row>
    <row r="182" spans="1:7" ht="15" customHeight="1">
      <c r="A182" s="29"/>
      <c r="B182" s="32"/>
      <c r="C182" s="29"/>
      <c r="D182" s="29"/>
      <c r="E182" s="115"/>
      <c r="F182" s="89"/>
      <c r="G182" s="89"/>
    </row>
    <row r="183" spans="1:7" ht="15" customHeight="1">
      <c r="A183" s="29"/>
      <c r="B183" s="32"/>
      <c r="C183" s="29"/>
      <c r="D183" s="29"/>
      <c r="E183" s="115"/>
      <c r="F183" s="89"/>
      <c r="G183" s="89"/>
    </row>
    <row r="184" spans="1:7" ht="15" customHeight="1">
      <c r="A184" s="29"/>
      <c r="B184" s="32"/>
      <c r="C184" s="29"/>
      <c r="D184" s="29"/>
      <c r="E184" s="115"/>
      <c r="F184" s="89"/>
      <c r="G184" s="89"/>
    </row>
    <row r="185" spans="1:7" ht="15" customHeight="1">
      <c r="A185" s="29"/>
      <c r="B185" s="32"/>
      <c r="C185" s="29"/>
      <c r="D185" s="29"/>
      <c r="E185" s="115"/>
      <c r="F185" s="89"/>
      <c r="G185" s="89"/>
    </row>
    <row r="186" spans="1:7" ht="15" customHeight="1">
      <c r="A186" s="29"/>
      <c r="B186" s="32"/>
      <c r="C186" s="29"/>
      <c r="D186" s="29"/>
      <c r="E186" s="115"/>
      <c r="F186" s="89"/>
      <c r="G186" s="89"/>
    </row>
    <row r="187" spans="1:7" ht="15" customHeight="1">
      <c r="A187" s="29"/>
      <c r="B187" s="32"/>
      <c r="C187" s="29"/>
      <c r="D187" s="29"/>
      <c r="E187" s="115"/>
      <c r="F187" s="89"/>
      <c r="G187" s="89"/>
    </row>
    <row r="188" spans="1:7" ht="15" customHeight="1">
      <c r="A188" s="29"/>
      <c r="B188" s="32"/>
      <c r="C188" s="29"/>
      <c r="D188" s="29"/>
      <c r="E188" s="115"/>
      <c r="F188" s="89"/>
      <c r="G188" s="89"/>
    </row>
    <row r="189" spans="1:7" ht="15" customHeight="1">
      <c r="A189" s="29"/>
      <c r="B189" s="32"/>
      <c r="C189" s="29"/>
      <c r="D189" s="29"/>
      <c r="E189" s="115"/>
      <c r="F189" s="89"/>
      <c r="G189" s="89"/>
    </row>
    <row r="190" spans="1:7" ht="15" customHeight="1">
      <c r="A190" s="29"/>
      <c r="B190" s="32"/>
      <c r="C190" s="29"/>
      <c r="D190" s="29"/>
      <c r="E190" s="115"/>
      <c r="F190" s="89"/>
      <c r="G190" s="89"/>
    </row>
  </sheetData>
  <mergeCells count="2">
    <mergeCell ref="D1:G2"/>
    <mergeCell ref="D3:G4"/>
  </mergeCells>
  <printOptions horizontalCentered="1"/>
  <pageMargins left="0.31496062992125984" right="0.31496062992125984" top="1.6535433070866143" bottom="0.19685039370078741" header="0.19685039370078741" footer="0.27559055118110237"/>
  <pageSetup paperSize="9" scale="72" fitToHeight="0" orientation="portrait" horizontalDpi="4294967293" verticalDpi="300" r:id="rId1"/>
  <headerFooter scaleWithDoc="0"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7"/>
  <sheetViews>
    <sheetView topLeftCell="A49" zoomScale="90" zoomScaleNormal="90" workbookViewId="0">
      <selection activeCell="F117" sqref="F117"/>
    </sheetView>
  </sheetViews>
  <sheetFormatPr defaultColWidth="9" defaultRowHeight="14.4"/>
  <cols>
    <col min="1" max="1" width="6.21875" style="220" customWidth="1"/>
    <col min="2" max="2" width="44.77734375" style="220" bestFit="1" customWidth="1"/>
    <col min="3" max="3" width="10.21875" style="313" customWidth="1"/>
    <col min="4" max="4" width="9.6640625" style="220" customWidth="1"/>
    <col min="5" max="5" width="13.88671875" style="220" customWidth="1"/>
    <col min="6" max="6" width="19" style="220" customWidth="1"/>
    <col min="7" max="7" width="3.33203125" style="220" customWidth="1"/>
    <col min="8" max="8" width="9" style="220"/>
    <col min="9" max="9" width="11.21875" style="220" bestFit="1" customWidth="1"/>
    <col min="10" max="16384" width="9" style="220"/>
  </cols>
  <sheetData>
    <row r="1" spans="1:6">
      <c r="A1" s="216"/>
      <c r="B1" s="217"/>
      <c r="C1" s="218"/>
      <c r="D1" s="219"/>
      <c r="E1" s="536"/>
      <c r="F1" s="537"/>
    </row>
    <row r="2" spans="1:6" ht="15" customHeight="1">
      <c r="A2" s="538" t="s">
        <v>340</v>
      </c>
      <c r="B2" s="538"/>
      <c r="C2" s="221"/>
      <c r="D2" s="221"/>
      <c r="E2" s="222"/>
      <c r="F2" s="222"/>
    </row>
    <row r="3" spans="1:6" ht="15.6">
      <c r="A3" s="223" t="s">
        <v>341</v>
      </c>
      <c r="B3" s="224"/>
      <c r="C3" s="225"/>
      <c r="D3" s="226"/>
      <c r="E3" s="226"/>
      <c r="F3" s="226"/>
    </row>
    <row r="4" spans="1:6" ht="16.2" thickBot="1">
      <c r="A4" s="227" t="s">
        <v>342</v>
      </c>
      <c r="B4" s="228"/>
      <c r="C4" s="228"/>
      <c r="D4" s="226"/>
      <c r="E4" s="226"/>
      <c r="F4" s="226"/>
    </row>
    <row r="5" spans="1:6">
      <c r="A5" s="539" t="s">
        <v>343</v>
      </c>
      <c r="B5" s="541" t="s">
        <v>344</v>
      </c>
      <c r="C5" s="543" t="s">
        <v>345</v>
      </c>
      <c r="D5" s="541" t="s">
        <v>15</v>
      </c>
      <c r="E5" s="229" t="s">
        <v>346</v>
      </c>
      <c r="F5" s="230" t="s">
        <v>347</v>
      </c>
    </row>
    <row r="6" spans="1:6" ht="15" thickBot="1">
      <c r="A6" s="540"/>
      <c r="B6" s="542"/>
      <c r="C6" s="544"/>
      <c r="D6" s="542"/>
      <c r="E6" s="231" t="s">
        <v>348</v>
      </c>
      <c r="F6" s="232" t="s">
        <v>348</v>
      </c>
    </row>
    <row r="7" spans="1:6" ht="15" thickTop="1">
      <c r="A7" s="233"/>
      <c r="B7" s="234"/>
      <c r="C7" s="235"/>
      <c r="D7" s="234"/>
      <c r="E7" s="236"/>
      <c r="F7" s="237"/>
    </row>
    <row r="8" spans="1:6">
      <c r="A8" s="238">
        <v>1</v>
      </c>
      <c r="B8" s="239" t="s">
        <v>349</v>
      </c>
      <c r="C8" s="240" t="s">
        <v>350</v>
      </c>
      <c r="D8" s="241"/>
      <c r="E8" s="242"/>
      <c r="F8" s="243"/>
    </row>
    <row r="9" spans="1:6">
      <c r="A9" s="244"/>
      <c r="B9" s="245" t="s">
        <v>351</v>
      </c>
      <c r="C9" s="240" t="s">
        <v>37</v>
      </c>
      <c r="D9" s="246">
        <f>0.004*0.5</f>
        <v>2E-3</v>
      </c>
      <c r="E9" s="247">
        <v>2350000</v>
      </c>
      <c r="F9" s="243">
        <f>D9*E9</f>
        <v>4700</v>
      </c>
    </row>
    <row r="10" spans="1:6">
      <c r="A10" s="244"/>
      <c r="B10" s="245" t="s">
        <v>352</v>
      </c>
      <c r="C10" s="240" t="s">
        <v>37</v>
      </c>
      <c r="D10" s="246">
        <f>0.002*0.5</f>
        <v>1E-3</v>
      </c>
      <c r="E10" s="247">
        <v>1850000</v>
      </c>
      <c r="F10" s="243">
        <f>D10*E10</f>
        <v>1850</v>
      </c>
    </row>
    <row r="11" spans="1:6">
      <c r="A11" s="244"/>
      <c r="B11" s="245" t="s">
        <v>353</v>
      </c>
      <c r="C11" s="248" t="s">
        <v>289</v>
      </c>
      <c r="D11" s="249">
        <v>0.02</v>
      </c>
      <c r="E11" s="250">
        <v>13500</v>
      </c>
      <c r="F11" s="243">
        <f>D11*E11</f>
        <v>270</v>
      </c>
    </row>
    <row r="12" spans="1:6" ht="15" thickBot="1">
      <c r="A12" s="244"/>
      <c r="B12" s="245" t="s">
        <v>354</v>
      </c>
      <c r="C12" s="240" t="s">
        <v>350</v>
      </c>
      <c r="D12" s="249">
        <v>1</v>
      </c>
      <c r="E12" s="250">
        <v>15000</v>
      </c>
      <c r="F12" s="251">
        <f>D12*E12</f>
        <v>15000</v>
      </c>
    </row>
    <row r="13" spans="1:6" ht="16.2">
      <c r="A13" s="244"/>
      <c r="B13" s="252" t="s">
        <v>355</v>
      </c>
      <c r="C13" s="253"/>
      <c r="D13" s="253"/>
      <c r="E13" s="254"/>
      <c r="F13" s="255">
        <f>SUM(F9:F12)</f>
        <v>21820</v>
      </c>
    </row>
    <row r="14" spans="1:6">
      <c r="A14" s="238">
        <v>2</v>
      </c>
      <c r="B14" s="239" t="s">
        <v>356</v>
      </c>
      <c r="C14" s="240" t="s">
        <v>37</v>
      </c>
      <c r="D14" s="256"/>
      <c r="E14" s="250"/>
      <c r="F14" s="243"/>
    </row>
    <row r="15" spans="1:6">
      <c r="A15" s="244"/>
      <c r="B15" s="245" t="s">
        <v>357</v>
      </c>
      <c r="C15" s="248" t="s">
        <v>289</v>
      </c>
      <c r="D15" s="257">
        <f>325</f>
        <v>325</v>
      </c>
      <c r="E15" s="250">
        <f>(55000)/40/1.1+500/40</f>
        <v>1262.5</v>
      </c>
      <c r="F15" s="243">
        <f>D15*E15</f>
        <v>410312.5</v>
      </c>
    </row>
    <row r="16" spans="1:6">
      <c r="A16" s="244"/>
      <c r="B16" s="245" t="s">
        <v>358</v>
      </c>
      <c r="C16" s="240" t="s">
        <v>37</v>
      </c>
      <c r="D16" s="249">
        <f>0.545*1.1*1.2</f>
        <v>0.71940000000000015</v>
      </c>
      <c r="E16" s="250">
        <v>185000</v>
      </c>
      <c r="F16" s="243">
        <f>D16*E16</f>
        <v>133089.00000000003</v>
      </c>
    </row>
    <row r="17" spans="1:9">
      <c r="A17" s="244"/>
      <c r="B17" s="245" t="s">
        <v>359</v>
      </c>
      <c r="C17" s="240" t="s">
        <v>37</v>
      </c>
      <c r="D17" s="246">
        <v>0.81700000000000006</v>
      </c>
      <c r="E17" s="250">
        <v>230000</v>
      </c>
      <c r="F17" s="243">
        <f>D17*E17</f>
        <v>187910</v>
      </c>
    </row>
    <row r="18" spans="1:9">
      <c r="A18" s="244"/>
      <c r="B18" s="245" t="s">
        <v>360</v>
      </c>
      <c r="C18" s="248" t="s">
        <v>25</v>
      </c>
      <c r="D18" s="249">
        <v>1</v>
      </c>
      <c r="E18" s="250">
        <v>7500</v>
      </c>
      <c r="F18" s="243">
        <f>D18*E18</f>
        <v>7500</v>
      </c>
    </row>
    <row r="19" spans="1:9" ht="15" thickBot="1">
      <c r="A19" s="244"/>
      <c r="B19" s="245" t="s">
        <v>354</v>
      </c>
      <c r="C19" s="240" t="s">
        <v>37</v>
      </c>
      <c r="D19" s="249">
        <v>1</v>
      </c>
      <c r="E19" s="250">
        <v>250000</v>
      </c>
      <c r="F19" s="258">
        <f>D19*E19</f>
        <v>250000</v>
      </c>
    </row>
    <row r="20" spans="1:9">
      <c r="A20" s="244"/>
      <c r="B20" s="252" t="s">
        <v>355</v>
      </c>
      <c r="C20" s="259"/>
      <c r="D20" s="256"/>
      <c r="E20" s="250"/>
      <c r="F20" s="260">
        <f>SUM(F15:F19)</f>
        <v>988811.5</v>
      </c>
    </row>
    <row r="21" spans="1:9">
      <c r="A21" s="238">
        <v>3</v>
      </c>
      <c r="B21" s="239" t="s">
        <v>361</v>
      </c>
      <c r="C21" s="240" t="s">
        <v>37</v>
      </c>
      <c r="D21" s="256"/>
      <c r="E21" s="250"/>
      <c r="F21" s="261"/>
    </row>
    <row r="22" spans="1:9">
      <c r="A22" s="244"/>
      <c r="B22" s="245" t="s">
        <v>362</v>
      </c>
      <c r="C22" s="240" t="s">
        <v>37</v>
      </c>
      <c r="D22" s="249">
        <v>1</v>
      </c>
      <c r="E22" s="250">
        <v>560000</v>
      </c>
      <c r="F22" s="243">
        <f>D22*E22</f>
        <v>560000</v>
      </c>
    </row>
    <row r="23" spans="1:9">
      <c r="A23" s="244"/>
      <c r="B23" s="245" t="s">
        <v>360</v>
      </c>
      <c r="C23" s="248" t="s">
        <v>25</v>
      </c>
      <c r="D23" s="249">
        <v>1</v>
      </c>
      <c r="E23" s="250">
        <f>E18</f>
        <v>7500</v>
      </c>
      <c r="F23" s="243">
        <f>D23*E23</f>
        <v>7500</v>
      </c>
    </row>
    <row r="24" spans="1:9" ht="15" thickBot="1">
      <c r="A24" s="244"/>
      <c r="B24" s="245" t="s">
        <v>354</v>
      </c>
      <c r="C24" s="240" t="s">
        <v>37</v>
      </c>
      <c r="D24" s="249">
        <v>1</v>
      </c>
      <c r="E24" s="250">
        <v>225000</v>
      </c>
      <c r="F24" s="262">
        <f>D24*E24</f>
        <v>225000</v>
      </c>
    </row>
    <row r="25" spans="1:9">
      <c r="A25" s="244"/>
      <c r="B25" s="252" t="s">
        <v>355</v>
      </c>
      <c r="C25" s="259"/>
      <c r="D25" s="256"/>
      <c r="E25" s="250"/>
      <c r="F25" s="263">
        <f>SUM(F22:F24)</f>
        <v>792500</v>
      </c>
    </row>
    <row r="26" spans="1:9">
      <c r="A26" s="238">
        <v>4</v>
      </c>
      <c r="B26" s="264" t="s">
        <v>615</v>
      </c>
      <c r="C26" s="240" t="s">
        <v>37</v>
      </c>
      <c r="D26" s="256"/>
      <c r="E26" s="250"/>
      <c r="F26" s="243"/>
      <c r="I26" s="333"/>
    </row>
    <row r="27" spans="1:9">
      <c r="A27" s="238"/>
      <c r="B27" s="245" t="s">
        <v>363</v>
      </c>
      <c r="C27" s="240" t="s">
        <v>37</v>
      </c>
      <c r="D27" s="249">
        <f>1.01</f>
        <v>1.01</v>
      </c>
      <c r="E27" s="250">
        <v>900000</v>
      </c>
      <c r="F27" s="243">
        <f>D27*E27</f>
        <v>909000</v>
      </c>
    </row>
    <row r="28" spans="1:9">
      <c r="A28" s="244"/>
      <c r="B28" s="245" t="s">
        <v>364</v>
      </c>
      <c r="C28" s="240" t="s">
        <v>25</v>
      </c>
      <c r="D28" s="249">
        <v>1</v>
      </c>
      <c r="E28" s="485">
        <f>3500000/40+250000/40</f>
        <v>93750</v>
      </c>
      <c r="F28" s="243">
        <f>D28*E28</f>
        <v>93750</v>
      </c>
      <c r="I28" s="487"/>
    </row>
    <row r="29" spans="1:9">
      <c r="A29" s="238"/>
      <c r="B29" s="245" t="s">
        <v>360</v>
      </c>
      <c r="C29" s="240" t="s">
        <v>25</v>
      </c>
      <c r="D29" s="249">
        <v>1</v>
      </c>
      <c r="E29" s="250">
        <v>5000</v>
      </c>
      <c r="F29" s="243">
        <f>D29*E29</f>
        <v>5000</v>
      </c>
    </row>
    <row r="30" spans="1:9" ht="15" thickBot="1">
      <c r="A30" s="238"/>
      <c r="B30" s="245" t="s">
        <v>354</v>
      </c>
      <c r="C30" s="240" t="s">
        <v>37</v>
      </c>
      <c r="D30" s="249">
        <v>1</v>
      </c>
      <c r="E30" s="250">
        <v>225000</v>
      </c>
      <c r="F30" s="251">
        <f>D30*E30</f>
        <v>225000</v>
      </c>
    </row>
    <row r="31" spans="1:9">
      <c r="A31" s="238"/>
      <c r="B31" s="252" t="s">
        <v>355</v>
      </c>
      <c r="C31" s="240"/>
      <c r="D31" s="256"/>
      <c r="E31" s="250"/>
      <c r="F31" s="255">
        <f>SUM(F27:F30)</f>
        <v>1232750</v>
      </c>
    </row>
    <row r="32" spans="1:9">
      <c r="A32" s="238">
        <v>5</v>
      </c>
      <c r="B32" s="264" t="s">
        <v>616</v>
      </c>
      <c r="C32" s="240" t="s">
        <v>37</v>
      </c>
      <c r="D32" s="256"/>
      <c r="E32" s="250"/>
      <c r="F32" s="243"/>
    </row>
    <row r="33" spans="1:6">
      <c r="A33" s="238"/>
      <c r="B33" s="245" t="s">
        <v>363</v>
      </c>
      <c r="C33" s="240" t="s">
        <v>37</v>
      </c>
      <c r="D33" s="249">
        <f>1.01</f>
        <v>1.01</v>
      </c>
      <c r="E33" s="250">
        <v>670000</v>
      </c>
      <c r="F33" s="243">
        <f>D33*E33</f>
        <v>676700</v>
      </c>
    </row>
    <row r="34" spans="1:6">
      <c r="A34" s="238"/>
      <c r="B34" s="245" t="s">
        <v>360</v>
      </c>
      <c r="C34" s="240" t="s">
        <v>25</v>
      </c>
      <c r="D34" s="249">
        <v>1</v>
      </c>
      <c r="E34" s="250">
        <v>5000</v>
      </c>
      <c r="F34" s="243">
        <f>D34*E34</f>
        <v>5000</v>
      </c>
    </row>
    <row r="35" spans="1:6" ht="15" thickBot="1">
      <c r="A35" s="238"/>
      <c r="B35" s="245" t="s">
        <v>354</v>
      </c>
      <c r="C35" s="240" t="s">
        <v>37</v>
      </c>
      <c r="D35" s="249">
        <v>1</v>
      </c>
      <c r="E35" s="250">
        <v>225000</v>
      </c>
      <c r="F35" s="251">
        <f>D35*E35</f>
        <v>225000</v>
      </c>
    </row>
    <row r="36" spans="1:6">
      <c r="A36" s="238"/>
      <c r="B36" s="252" t="s">
        <v>355</v>
      </c>
      <c r="C36" s="240"/>
      <c r="D36" s="256"/>
      <c r="E36" s="250"/>
      <c r="F36" s="255">
        <f>SUM(F33:F35)</f>
        <v>906700</v>
      </c>
    </row>
    <row r="37" spans="1:6">
      <c r="A37" s="238">
        <v>6</v>
      </c>
      <c r="B37" s="264" t="s">
        <v>617</v>
      </c>
      <c r="C37" s="240" t="s">
        <v>37</v>
      </c>
      <c r="D37" s="256"/>
      <c r="E37" s="250"/>
      <c r="F37" s="243"/>
    </row>
    <row r="38" spans="1:6">
      <c r="A38" s="244"/>
      <c r="B38" s="245" t="s">
        <v>363</v>
      </c>
      <c r="C38" s="240" t="s">
        <v>37</v>
      </c>
      <c r="D38" s="249">
        <f>D33</f>
        <v>1.01</v>
      </c>
      <c r="E38" s="250">
        <f>E33</f>
        <v>670000</v>
      </c>
      <c r="F38" s="243">
        <f>D38*E38</f>
        <v>676700</v>
      </c>
    </row>
    <row r="39" spans="1:6">
      <c r="A39" s="244"/>
      <c r="B39" s="245" t="s">
        <v>364</v>
      </c>
      <c r="C39" s="240" t="s">
        <v>25</v>
      </c>
      <c r="D39" s="249">
        <v>1</v>
      </c>
      <c r="E39" s="485">
        <f>3500000/40+250000/40</f>
        <v>93750</v>
      </c>
      <c r="F39" s="243">
        <f>D39*E39</f>
        <v>93750</v>
      </c>
    </row>
    <row r="40" spans="1:6">
      <c r="A40" s="244"/>
      <c r="B40" s="245" t="s">
        <v>360</v>
      </c>
      <c r="C40" s="240" t="s">
        <v>37</v>
      </c>
      <c r="D40" s="249">
        <v>1</v>
      </c>
      <c r="E40" s="250">
        <v>5000</v>
      </c>
      <c r="F40" s="243">
        <f>D40*E40</f>
        <v>5000</v>
      </c>
    </row>
    <row r="41" spans="1:6" ht="15" thickBot="1">
      <c r="A41" s="244"/>
      <c r="B41" s="245" t="s">
        <v>354</v>
      </c>
      <c r="C41" s="240" t="s">
        <v>25</v>
      </c>
      <c r="D41" s="249">
        <v>1</v>
      </c>
      <c r="E41" s="250">
        <v>185000</v>
      </c>
      <c r="F41" s="258">
        <f>D41*E41</f>
        <v>185000</v>
      </c>
    </row>
    <row r="42" spans="1:6">
      <c r="A42" s="244"/>
      <c r="B42" s="252" t="s">
        <v>355</v>
      </c>
      <c r="C42" s="240"/>
      <c r="D42" s="256"/>
      <c r="E42" s="250"/>
      <c r="F42" s="260">
        <f>SUM(F38:F41)</f>
        <v>960450</v>
      </c>
    </row>
    <row r="43" spans="1:6">
      <c r="A43" s="238">
        <v>7</v>
      </c>
      <c r="B43" s="239" t="s">
        <v>365</v>
      </c>
      <c r="C43" s="240" t="s">
        <v>37</v>
      </c>
      <c r="D43" s="256"/>
      <c r="E43" s="250"/>
      <c r="F43" s="243"/>
    </row>
    <row r="44" spans="1:6">
      <c r="A44" s="244"/>
      <c r="B44" s="245" t="s">
        <v>357</v>
      </c>
      <c r="C44" s="248" t="s">
        <v>289</v>
      </c>
      <c r="D44" s="257">
        <f>200</f>
        <v>200</v>
      </c>
      <c r="E44" s="250">
        <f>E15</f>
        <v>1262.5</v>
      </c>
      <c r="F44" s="243">
        <f>D44*E44</f>
        <v>252500</v>
      </c>
    </row>
    <row r="45" spans="1:6">
      <c r="A45" s="244"/>
      <c r="B45" s="245" t="s">
        <v>358</v>
      </c>
      <c r="C45" s="240" t="s">
        <v>37</v>
      </c>
      <c r="D45" s="246">
        <f>0.557*1.1*1.2</f>
        <v>0.73524000000000012</v>
      </c>
      <c r="E45" s="250">
        <f>E16</f>
        <v>185000</v>
      </c>
      <c r="F45" s="243">
        <f>D45*E45</f>
        <v>136019.40000000002</v>
      </c>
    </row>
    <row r="46" spans="1:6">
      <c r="A46" s="244"/>
      <c r="B46" s="245" t="s">
        <v>366</v>
      </c>
      <c r="C46" s="240" t="s">
        <v>37</v>
      </c>
      <c r="D46" s="246">
        <v>0.92800000000000005</v>
      </c>
      <c r="E46" s="250">
        <f>E17</f>
        <v>230000</v>
      </c>
      <c r="F46" s="243">
        <f>D46*E46</f>
        <v>213440</v>
      </c>
    </row>
    <row r="47" spans="1:6">
      <c r="A47" s="244"/>
      <c r="B47" s="245" t="s">
        <v>360</v>
      </c>
      <c r="C47" s="248" t="s">
        <v>25</v>
      </c>
      <c r="D47" s="249">
        <v>1</v>
      </c>
      <c r="E47" s="250">
        <f>E18</f>
        <v>7500</v>
      </c>
      <c r="F47" s="243">
        <f>D47*E47</f>
        <v>7500</v>
      </c>
    </row>
    <row r="48" spans="1:6" ht="15" thickBot="1">
      <c r="A48" s="244"/>
      <c r="B48" s="245" t="s">
        <v>354</v>
      </c>
      <c r="C48" s="240" t="s">
        <v>37</v>
      </c>
      <c r="D48" s="249">
        <v>1</v>
      </c>
      <c r="E48" s="250">
        <v>250000</v>
      </c>
      <c r="F48" s="251">
        <f>D48*E48</f>
        <v>250000</v>
      </c>
    </row>
    <row r="49" spans="1:6">
      <c r="A49" s="244"/>
      <c r="B49" s="252" t="s">
        <v>355</v>
      </c>
      <c r="C49" s="259"/>
      <c r="D49" s="256"/>
      <c r="E49" s="250"/>
      <c r="F49" s="255">
        <f>SUM(F44:F48)</f>
        <v>859459.4</v>
      </c>
    </row>
    <row r="50" spans="1:6">
      <c r="A50" s="238">
        <v>8</v>
      </c>
      <c r="B50" s="239" t="s">
        <v>367</v>
      </c>
      <c r="C50" s="240" t="s">
        <v>40</v>
      </c>
      <c r="D50" s="256"/>
      <c r="E50" s="250"/>
      <c r="F50" s="243"/>
    </row>
    <row r="51" spans="1:6">
      <c r="A51" s="238"/>
      <c r="B51" s="245" t="s">
        <v>368</v>
      </c>
      <c r="C51" s="240" t="s">
        <v>369</v>
      </c>
      <c r="D51" s="256">
        <f>(1/1.2/2.4)*(0.5)</f>
        <v>0.17361111111111113</v>
      </c>
      <c r="E51" s="247">
        <f>105000/1.1</f>
        <v>95454.545454545441</v>
      </c>
      <c r="F51" s="243">
        <f>D51*E51</f>
        <v>16571.969696969696</v>
      </c>
    </row>
    <row r="52" spans="1:6">
      <c r="A52" s="244"/>
      <c r="B52" s="245" t="s">
        <v>370</v>
      </c>
      <c r="C52" s="240" t="s">
        <v>37</v>
      </c>
      <c r="D52" s="256">
        <f>0.014*0.5</f>
        <v>7.0000000000000001E-3</v>
      </c>
      <c r="E52" s="250">
        <f>E10</f>
        <v>1850000</v>
      </c>
      <c r="F52" s="243">
        <f>D52*E52</f>
        <v>12950</v>
      </c>
    </row>
    <row r="53" spans="1:6">
      <c r="A53" s="244"/>
      <c r="B53" s="245" t="s">
        <v>371</v>
      </c>
      <c r="C53" s="248" t="s">
        <v>289</v>
      </c>
      <c r="D53" s="265">
        <v>0.25</v>
      </c>
      <c r="E53" s="250">
        <f>E11</f>
        <v>13500</v>
      </c>
      <c r="F53" s="243">
        <f>D53*E53</f>
        <v>3375</v>
      </c>
    </row>
    <row r="54" spans="1:6" ht="15" thickBot="1">
      <c r="A54" s="244"/>
      <c r="B54" s="245" t="s">
        <v>354</v>
      </c>
      <c r="C54" s="240" t="s">
        <v>40</v>
      </c>
      <c r="D54" s="249">
        <v>1</v>
      </c>
      <c r="E54" s="250">
        <v>45000</v>
      </c>
      <c r="F54" s="258">
        <f>D54*E54</f>
        <v>45000</v>
      </c>
    </row>
    <row r="55" spans="1:6">
      <c r="A55" s="244"/>
      <c r="B55" s="252" t="s">
        <v>355</v>
      </c>
      <c r="C55" s="259"/>
      <c r="D55" s="256"/>
      <c r="E55" s="250"/>
      <c r="F55" s="260">
        <f>SUM(F51:F54)</f>
        <v>77896.969696969696</v>
      </c>
    </row>
    <row r="56" spans="1:6">
      <c r="A56" s="238">
        <v>9</v>
      </c>
      <c r="B56" s="239" t="s">
        <v>372</v>
      </c>
      <c r="C56" s="240" t="s">
        <v>40</v>
      </c>
      <c r="D56" s="256"/>
      <c r="E56" s="250"/>
      <c r="F56" s="243"/>
    </row>
    <row r="57" spans="1:6">
      <c r="A57" s="244"/>
      <c r="B57" s="245" t="s">
        <v>368</v>
      </c>
      <c r="C57" s="240" t="s">
        <v>369</v>
      </c>
      <c r="D57" s="256">
        <f>D51</f>
        <v>0.17361111111111113</v>
      </c>
      <c r="E57" s="250">
        <f>E51</f>
        <v>95454.545454545441</v>
      </c>
      <c r="F57" s="243">
        <f>D57*E57</f>
        <v>16571.969696969696</v>
      </c>
    </row>
    <row r="58" spans="1:6">
      <c r="A58" s="244"/>
      <c r="B58" s="245" t="s">
        <v>370</v>
      </c>
      <c r="C58" s="240" t="s">
        <v>37</v>
      </c>
      <c r="D58" s="256">
        <f>0.043*(0.5)</f>
        <v>2.1499999999999998E-2</v>
      </c>
      <c r="E58" s="250">
        <f>E52</f>
        <v>1850000</v>
      </c>
      <c r="F58" s="243">
        <f>D58*E58</f>
        <v>39775</v>
      </c>
    </row>
    <row r="59" spans="1:6">
      <c r="A59" s="244"/>
      <c r="B59" s="245" t="s">
        <v>371</v>
      </c>
      <c r="C59" s="248" t="s">
        <v>289</v>
      </c>
      <c r="D59" s="265">
        <v>0.5</v>
      </c>
      <c r="E59" s="250">
        <f>E53</f>
        <v>13500</v>
      </c>
      <c r="F59" s="243">
        <f>D59*E59</f>
        <v>6750</v>
      </c>
    </row>
    <row r="60" spans="1:6" ht="15" thickBot="1">
      <c r="A60" s="244"/>
      <c r="B60" s="245" t="s">
        <v>354</v>
      </c>
      <c r="C60" s="240" t="s">
        <v>40</v>
      </c>
      <c r="D60" s="265">
        <v>1</v>
      </c>
      <c r="E60" s="250">
        <v>50000</v>
      </c>
      <c r="F60" s="251">
        <f>D60*E60</f>
        <v>50000</v>
      </c>
    </row>
    <row r="61" spans="1:6">
      <c r="A61" s="244"/>
      <c r="B61" s="252" t="s">
        <v>355</v>
      </c>
      <c r="C61" s="240"/>
      <c r="D61" s="256"/>
      <c r="E61" s="250"/>
      <c r="F61" s="255">
        <f>SUM(F57:F60)</f>
        <v>113096.9696969697</v>
      </c>
    </row>
    <row r="62" spans="1:6">
      <c r="A62" s="238">
        <v>10</v>
      </c>
      <c r="B62" s="239" t="s">
        <v>373</v>
      </c>
      <c r="C62" s="240" t="s">
        <v>40</v>
      </c>
      <c r="D62" s="256"/>
      <c r="E62" s="250"/>
      <c r="F62" s="243"/>
    </row>
    <row r="63" spans="1:6">
      <c r="A63" s="244"/>
      <c r="B63" s="245" t="s">
        <v>368</v>
      </c>
      <c r="C63" s="240" t="s">
        <v>369</v>
      </c>
      <c r="D63" s="256">
        <f>D57</f>
        <v>0.17361111111111113</v>
      </c>
      <c r="E63" s="250">
        <f>E51</f>
        <v>95454.545454545441</v>
      </c>
      <c r="F63" s="243">
        <f>D63*E63</f>
        <v>16571.969696969696</v>
      </c>
    </row>
    <row r="64" spans="1:6">
      <c r="A64" s="244"/>
      <c r="B64" s="245" t="s">
        <v>370</v>
      </c>
      <c r="C64" s="240" t="s">
        <v>37</v>
      </c>
      <c r="D64" s="256">
        <f>0.067*(0.5)</f>
        <v>3.3500000000000002E-2</v>
      </c>
      <c r="E64" s="250">
        <f>E52</f>
        <v>1850000</v>
      </c>
      <c r="F64" s="243">
        <f>D64*E64</f>
        <v>61975.000000000007</v>
      </c>
    </row>
    <row r="65" spans="1:6">
      <c r="A65" s="244"/>
      <c r="B65" s="245" t="s">
        <v>371</v>
      </c>
      <c r="C65" s="248" t="s">
        <v>289</v>
      </c>
      <c r="D65" s="256">
        <v>0.25</v>
      </c>
      <c r="E65" s="250">
        <f>E53</f>
        <v>13500</v>
      </c>
      <c r="F65" s="243">
        <f>D65*E65</f>
        <v>3375</v>
      </c>
    </row>
    <row r="66" spans="1:6">
      <c r="A66" s="244"/>
      <c r="B66" s="266" t="s">
        <v>374</v>
      </c>
      <c r="C66" s="267" t="s">
        <v>40</v>
      </c>
      <c r="D66" s="268">
        <v>1</v>
      </c>
      <c r="E66" s="250">
        <f>F92</f>
        <v>3150</v>
      </c>
      <c r="F66" s="243">
        <f>D66*E66</f>
        <v>3150</v>
      </c>
    </row>
    <row r="67" spans="1:6" ht="15" thickBot="1">
      <c r="A67" s="244"/>
      <c r="B67" s="245" t="s">
        <v>354</v>
      </c>
      <c r="C67" s="240" t="s">
        <v>40</v>
      </c>
      <c r="D67" s="265">
        <v>1</v>
      </c>
      <c r="E67" s="250">
        <f>E60</f>
        <v>50000</v>
      </c>
      <c r="F67" s="258">
        <f>D67*E67</f>
        <v>50000</v>
      </c>
    </row>
    <row r="68" spans="1:6">
      <c r="A68" s="244"/>
      <c r="B68" s="252" t="s">
        <v>355</v>
      </c>
      <c r="C68" s="259"/>
      <c r="D68" s="256"/>
      <c r="E68" s="250"/>
      <c r="F68" s="260">
        <f>SUM(F63:F67)</f>
        <v>135071.9696969697</v>
      </c>
    </row>
    <row r="69" spans="1:6">
      <c r="A69" s="238">
        <v>11</v>
      </c>
      <c r="B69" s="239" t="s">
        <v>375</v>
      </c>
      <c r="C69" s="248" t="s">
        <v>289</v>
      </c>
      <c r="D69" s="256"/>
      <c r="E69" s="250"/>
      <c r="F69" s="243"/>
    </row>
    <row r="70" spans="1:6">
      <c r="A70" s="244"/>
      <c r="B70" s="245" t="s">
        <v>376</v>
      </c>
      <c r="C70" s="248" t="s">
        <v>289</v>
      </c>
      <c r="D70" s="265">
        <v>1</v>
      </c>
      <c r="E70" s="247">
        <f>9700/1.11</f>
        <v>8738.7387387387371</v>
      </c>
      <c r="F70" s="243">
        <f>D70*E70</f>
        <v>8738.7387387387371</v>
      </c>
    </row>
    <row r="71" spans="1:6">
      <c r="A71" s="244"/>
      <c r="B71" s="245" t="s">
        <v>377</v>
      </c>
      <c r="C71" s="248" t="s">
        <v>289</v>
      </c>
      <c r="D71" s="256">
        <v>0.02</v>
      </c>
      <c r="E71" s="250">
        <v>15000</v>
      </c>
      <c r="F71" s="269">
        <f>D71*E71</f>
        <v>300</v>
      </c>
    </row>
    <row r="72" spans="1:6" ht="15" thickBot="1">
      <c r="A72" s="244"/>
      <c r="B72" s="245" t="s">
        <v>354</v>
      </c>
      <c r="C72" s="248" t="s">
        <v>289</v>
      </c>
      <c r="D72" s="265">
        <v>1</v>
      </c>
      <c r="E72" s="247">
        <f>2750+250</f>
        <v>3000</v>
      </c>
      <c r="F72" s="270">
        <f>D72*E72</f>
        <v>3000</v>
      </c>
    </row>
    <row r="73" spans="1:6">
      <c r="A73" s="244"/>
      <c r="B73" s="252" t="s">
        <v>355</v>
      </c>
      <c r="C73" s="259"/>
      <c r="D73" s="256"/>
      <c r="E73" s="250"/>
      <c r="F73" s="271">
        <f>SUM(F70:F72)</f>
        <v>12038.738738738737</v>
      </c>
    </row>
    <row r="74" spans="1:6">
      <c r="A74" s="238">
        <v>12</v>
      </c>
      <c r="B74" s="239" t="s">
        <v>378</v>
      </c>
      <c r="C74" s="248" t="s">
        <v>289</v>
      </c>
      <c r="D74" s="256"/>
      <c r="E74" s="250"/>
      <c r="F74" s="243"/>
    </row>
    <row r="75" spans="1:6">
      <c r="A75" s="244"/>
      <c r="B75" s="245" t="s">
        <v>376</v>
      </c>
      <c r="C75" s="248" t="s">
        <v>289</v>
      </c>
      <c r="D75" s="265">
        <f>D70</f>
        <v>1</v>
      </c>
      <c r="E75" s="247">
        <f>10157/1.11</f>
        <v>9150.4504504504494</v>
      </c>
      <c r="F75" s="243">
        <f>D75*E75</f>
        <v>9150.4504504504494</v>
      </c>
    </row>
    <row r="76" spans="1:6">
      <c r="A76" s="244"/>
      <c r="B76" s="245" t="s">
        <v>377</v>
      </c>
      <c r="C76" s="248" t="s">
        <v>289</v>
      </c>
      <c r="D76" s="256">
        <f>D71</f>
        <v>0.02</v>
      </c>
      <c r="E76" s="247">
        <f>E71</f>
        <v>15000</v>
      </c>
      <c r="F76" s="243">
        <f>D76*E76</f>
        <v>300</v>
      </c>
    </row>
    <row r="77" spans="1:6" ht="15" thickBot="1">
      <c r="A77" s="244"/>
      <c r="B77" s="245" t="s">
        <v>354</v>
      </c>
      <c r="C77" s="248" t="s">
        <v>289</v>
      </c>
      <c r="D77" s="265">
        <v>1</v>
      </c>
      <c r="E77" s="247">
        <f>E72</f>
        <v>3000</v>
      </c>
      <c r="F77" s="262">
        <f>D77*E77</f>
        <v>3000</v>
      </c>
    </row>
    <row r="78" spans="1:6">
      <c r="A78" s="244"/>
      <c r="B78" s="252" t="s">
        <v>355</v>
      </c>
      <c r="C78" s="259"/>
      <c r="D78" s="256"/>
      <c r="E78" s="247"/>
      <c r="F78" s="272">
        <f>SUM(F75:F77)</f>
        <v>12450.450450450449</v>
      </c>
    </row>
    <row r="79" spans="1:6">
      <c r="A79" s="238">
        <v>13</v>
      </c>
      <c r="B79" s="239" t="s">
        <v>379</v>
      </c>
      <c r="C79" s="248" t="s">
        <v>289</v>
      </c>
      <c r="D79" s="256"/>
      <c r="E79" s="247"/>
      <c r="F79" s="269"/>
    </row>
    <row r="80" spans="1:6">
      <c r="A80" s="244"/>
      <c r="B80" s="245" t="s">
        <v>376</v>
      </c>
      <c r="C80" s="248" t="s">
        <v>289</v>
      </c>
      <c r="D80" s="265">
        <f>D70</f>
        <v>1</v>
      </c>
      <c r="E80" s="247">
        <f>10400/1.11</f>
        <v>9369.3693693693695</v>
      </c>
      <c r="F80" s="269">
        <f>D80*E80</f>
        <v>9369.3693693693695</v>
      </c>
    </row>
    <row r="81" spans="1:6">
      <c r="A81" s="244"/>
      <c r="B81" s="245" t="s">
        <v>377</v>
      </c>
      <c r="C81" s="248" t="s">
        <v>289</v>
      </c>
      <c r="D81" s="256">
        <f>D71</f>
        <v>0.02</v>
      </c>
      <c r="E81" s="247">
        <f>E76</f>
        <v>15000</v>
      </c>
      <c r="F81" s="269">
        <f>D81*E81</f>
        <v>300</v>
      </c>
    </row>
    <row r="82" spans="1:6" ht="15" thickBot="1">
      <c r="A82" s="244"/>
      <c r="B82" s="245" t="s">
        <v>354</v>
      </c>
      <c r="C82" s="248" t="s">
        <v>289</v>
      </c>
      <c r="D82" s="265">
        <v>1</v>
      </c>
      <c r="E82" s="250">
        <f>E72</f>
        <v>3000</v>
      </c>
      <c r="F82" s="273">
        <f>D82*E82</f>
        <v>3000</v>
      </c>
    </row>
    <row r="83" spans="1:6">
      <c r="A83" s="244"/>
      <c r="B83" s="252" t="s">
        <v>355</v>
      </c>
      <c r="C83" s="259"/>
      <c r="D83" s="256"/>
      <c r="E83" s="250"/>
      <c r="F83" s="274">
        <f>SUM(F80:F82)</f>
        <v>12669.369369369369</v>
      </c>
    </row>
    <row r="84" spans="1:6">
      <c r="A84" s="238">
        <v>14</v>
      </c>
      <c r="B84" s="239" t="s">
        <v>380</v>
      </c>
      <c r="C84" s="240" t="s">
        <v>37</v>
      </c>
      <c r="D84" s="256"/>
      <c r="E84" s="250"/>
      <c r="F84" s="269"/>
    </row>
    <row r="85" spans="1:6">
      <c r="A85" s="244"/>
      <c r="B85" s="245" t="s">
        <v>381</v>
      </c>
      <c r="C85" s="240" t="s">
        <v>37</v>
      </c>
      <c r="D85" s="275">
        <v>1.1000000000000001</v>
      </c>
      <c r="E85" s="250">
        <v>140000</v>
      </c>
      <c r="F85" s="269">
        <f>D85*E85</f>
        <v>154000</v>
      </c>
    </row>
    <row r="86" spans="1:6">
      <c r="A86" s="244"/>
      <c r="B86" s="245" t="s">
        <v>382</v>
      </c>
      <c r="C86" s="240" t="s">
        <v>37</v>
      </c>
      <c r="D86" s="265">
        <v>1</v>
      </c>
      <c r="E86" s="250">
        <v>0</v>
      </c>
      <c r="F86" s="269">
        <f>D86*E86</f>
        <v>0</v>
      </c>
    </row>
    <row r="87" spans="1:6" ht="15" thickBot="1">
      <c r="A87" s="244"/>
      <c r="B87" s="245" t="s">
        <v>383</v>
      </c>
      <c r="C87" s="240" t="s">
        <v>37</v>
      </c>
      <c r="D87" s="265">
        <v>1</v>
      </c>
      <c r="E87" s="250">
        <v>20000</v>
      </c>
      <c r="F87" s="270">
        <f>D87*E87</f>
        <v>20000</v>
      </c>
    </row>
    <row r="88" spans="1:6">
      <c r="A88" s="244"/>
      <c r="B88" s="252" t="s">
        <v>355</v>
      </c>
      <c r="C88" s="259"/>
      <c r="D88" s="256"/>
      <c r="E88" s="250"/>
      <c r="F88" s="271">
        <f>SUM(F85:F87)</f>
        <v>174000</v>
      </c>
    </row>
    <row r="89" spans="1:6">
      <c r="A89" s="238">
        <v>15</v>
      </c>
      <c r="B89" s="276" t="s">
        <v>384</v>
      </c>
      <c r="C89" s="240" t="s">
        <v>40</v>
      </c>
      <c r="D89" s="256"/>
      <c r="E89" s="250"/>
      <c r="F89" s="269"/>
    </row>
    <row r="90" spans="1:6">
      <c r="A90" s="244"/>
      <c r="B90" s="277" t="s">
        <v>385</v>
      </c>
      <c r="C90" s="240" t="s">
        <v>40</v>
      </c>
      <c r="D90" s="265">
        <v>1.1000000000000001</v>
      </c>
      <c r="E90" s="250">
        <v>1500</v>
      </c>
      <c r="F90" s="269">
        <f>D90*E90</f>
        <v>1650.0000000000002</v>
      </c>
    </row>
    <row r="91" spans="1:6" ht="15" thickBot="1">
      <c r="A91" s="244"/>
      <c r="B91" s="277" t="s">
        <v>386</v>
      </c>
      <c r="C91" s="240" t="s">
        <v>40</v>
      </c>
      <c r="D91" s="265">
        <v>1</v>
      </c>
      <c r="E91" s="250">
        <v>1500</v>
      </c>
      <c r="F91" s="273">
        <f>D91*E91</f>
        <v>1500</v>
      </c>
    </row>
    <row r="92" spans="1:6">
      <c r="A92" s="244"/>
      <c r="B92" s="252" t="s">
        <v>355</v>
      </c>
      <c r="C92" s="259"/>
      <c r="D92" s="256"/>
      <c r="E92" s="250"/>
      <c r="F92" s="271">
        <f>SUM(F90:F91)</f>
        <v>3150</v>
      </c>
    </row>
    <row r="93" spans="1:6">
      <c r="A93" s="238">
        <v>16</v>
      </c>
      <c r="B93" s="278" t="s">
        <v>387</v>
      </c>
      <c r="C93" s="240" t="s">
        <v>40</v>
      </c>
      <c r="D93" s="256"/>
      <c r="E93" s="250"/>
      <c r="F93" s="279"/>
    </row>
    <row r="94" spans="1:6">
      <c r="A94" s="238"/>
      <c r="B94" s="280" t="s">
        <v>388</v>
      </c>
      <c r="C94" s="240" t="s">
        <v>37</v>
      </c>
      <c r="D94" s="246">
        <f>0.125*1.05/1.05</f>
        <v>0.125</v>
      </c>
      <c r="E94" s="250">
        <f>500000</f>
        <v>500000</v>
      </c>
      <c r="F94" s="269">
        <f>D94*E94</f>
        <v>62500</v>
      </c>
    </row>
    <row r="95" spans="1:6">
      <c r="A95" s="238"/>
      <c r="B95" s="280" t="s">
        <v>389</v>
      </c>
      <c r="C95" s="248" t="s">
        <v>289</v>
      </c>
      <c r="D95" s="249">
        <f>4.4*(12.5/10)</f>
        <v>5.5</v>
      </c>
      <c r="E95" s="250">
        <f>49900/40</f>
        <v>1247.5</v>
      </c>
      <c r="F95" s="269">
        <f>D95*E95</f>
        <v>6861.25</v>
      </c>
    </row>
    <row r="96" spans="1:6">
      <c r="A96" s="238"/>
      <c r="B96" s="280" t="s">
        <v>360</v>
      </c>
      <c r="C96" s="248" t="s">
        <v>25</v>
      </c>
      <c r="D96" s="249">
        <v>1</v>
      </c>
      <c r="E96" s="247">
        <v>5000</v>
      </c>
      <c r="F96" s="269">
        <f>D96*E96</f>
        <v>5000</v>
      </c>
    </row>
    <row r="97" spans="1:6" ht="15" thickBot="1">
      <c r="A97" s="238"/>
      <c r="B97" s="280" t="s">
        <v>386</v>
      </c>
      <c r="C97" s="240" t="s">
        <v>40</v>
      </c>
      <c r="D97" s="249">
        <v>1</v>
      </c>
      <c r="E97" s="250">
        <v>32500</v>
      </c>
      <c r="F97" s="281">
        <f>D97*E97</f>
        <v>32500</v>
      </c>
    </row>
    <row r="98" spans="1:6">
      <c r="A98" s="238"/>
      <c r="B98" s="252" t="s">
        <v>355</v>
      </c>
      <c r="C98" s="240"/>
      <c r="D98" s="256"/>
      <c r="E98" s="250"/>
      <c r="F98" s="274">
        <f>SUM(F94:F97)</f>
        <v>106861.25</v>
      </c>
    </row>
    <row r="99" spans="1:6">
      <c r="A99" s="238">
        <v>17</v>
      </c>
      <c r="B99" s="278" t="s">
        <v>562</v>
      </c>
      <c r="C99" s="240" t="s">
        <v>40</v>
      </c>
      <c r="D99" s="256"/>
      <c r="E99" s="250"/>
      <c r="F99" s="279"/>
    </row>
    <row r="100" spans="1:6">
      <c r="A100" s="238"/>
      <c r="B100" s="280" t="s">
        <v>388</v>
      </c>
      <c r="C100" s="240" t="s">
        <v>37</v>
      </c>
      <c r="D100" s="246">
        <v>0.1</v>
      </c>
      <c r="E100" s="250">
        <f>500000</f>
        <v>500000</v>
      </c>
      <c r="F100" s="269">
        <f>D100*E100</f>
        <v>50000</v>
      </c>
    </row>
    <row r="101" spans="1:6">
      <c r="A101" s="238"/>
      <c r="B101" s="280" t="s">
        <v>389</v>
      </c>
      <c r="C101" s="248" t="s">
        <v>289</v>
      </c>
      <c r="D101" s="249">
        <f>4.4*(10/10)</f>
        <v>4.4000000000000004</v>
      </c>
      <c r="E101" s="250">
        <f>49900/40</f>
        <v>1247.5</v>
      </c>
      <c r="F101" s="269">
        <f>D101*E101</f>
        <v>5489</v>
      </c>
    </row>
    <row r="102" spans="1:6">
      <c r="A102" s="238"/>
      <c r="B102" s="280" t="s">
        <v>360</v>
      </c>
      <c r="C102" s="248" t="s">
        <v>25</v>
      </c>
      <c r="D102" s="249">
        <v>1</v>
      </c>
      <c r="E102" s="247">
        <v>5000</v>
      </c>
      <c r="F102" s="269">
        <f>D102*E102</f>
        <v>5000</v>
      </c>
    </row>
    <row r="103" spans="1:6" ht="15" thickBot="1">
      <c r="A103" s="238"/>
      <c r="B103" s="280" t="s">
        <v>386</v>
      </c>
      <c r="C103" s="240" t="s">
        <v>40</v>
      </c>
      <c r="D103" s="249">
        <v>1</v>
      </c>
      <c r="E103" s="250">
        <v>32500</v>
      </c>
      <c r="F103" s="281">
        <f>D103*E103</f>
        <v>32500</v>
      </c>
    </row>
    <row r="104" spans="1:6">
      <c r="A104" s="238"/>
      <c r="B104" s="252" t="s">
        <v>355</v>
      </c>
      <c r="C104" s="240"/>
      <c r="D104" s="256"/>
      <c r="E104" s="250"/>
      <c r="F104" s="274">
        <f>SUM(F100:F103)</f>
        <v>92989</v>
      </c>
    </row>
    <row r="105" spans="1:6">
      <c r="A105" s="238">
        <v>18</v>
      </c>
      <c r="B105" s="278" t="s">
        <v>523</v>
      </c>
      <c r="C105" s="240" t="s">
        <v>40</v>
      </c>
      <c r="D105" s="256"/>
      <c r="E105" s="250"/>
      <c r="F105" s="279"/>
    </row>
    <row r="106" spans="1:6">
      <c r="A106" s="238"/>
      <c r="B106" s="280" t="s">
        <v>388</v>
      </c>
      <c r="C106" s="240" t="s">
        <v>37</v>
      </c>
      <c r="D106" s="246">
        <f>0.075*1.05/1.05</f>
        <v>7.4999999999999997E-2</v>
      </c>
      <c r="E106" s="250">
        <f>500000</f>
        <v>500000</v>
      </c>
      <c r="F106" s="269">
        <f>D106*E106</f>
        <v>37500</v>
      </c>
    </row>
    <row r="107" spans="1:6">
      <c r="A107" s="238"/>
      <c r="B107" s="280" t="s">
        <v>389</v>
      </c>
      <c r="C107" s="248" t="s">
        <v>289</v>
      </c>
      <c r="D107" s="249">
        <f>4.4*(7.5/10)</f>
        <v>3.3000000000000003</v>
      </c>
      <c r="E107" s="250">
        <f>E95</f>
        <v>1247.5</v>
      </c>
      <c r="F107" s="269">
        <f>D107*E107</f>
        <v>4116.75</v>
      </c>
    </row>
    <row r="108" spans="1:6">
      <c r="A108" s="238"/>
      <c r="B108" s="280" t="s">
        <v>360</v>
      </c>
      <c r="C108" s="248" t="s">
        <v>25</v>
      </c>
      <c r="D108" s="249">
        <v>1</v>
      </c>
      <c r="E108" s="247">
        <v>5000</v>
      </c>
      <c r="F108" s="269">
        <f>D108*E108</f>
        <v>5000</v>
      </c>
    </row>
    <row r="109" spans="1:6" ht="15" thickBot="1">
      <c r="A109" s="238"/>
      <c r="B109" s="280" t="s">
        <v>386</v>
      </c>
      <c r="C109" s="240" t="s">
        <v>40</v>
      </c>
      <c r="D109" s="249">
        <v>1</v>
      </c>
      <c r="E109" s="250">
        <v>32500</v>
      </c>
      <c r="F109" s="281">
        <f>D109*E109</f>
        <v>32500</v>
      </c>
    </row>
    <row r="110" spans="1:6">
      <c r="A110" s="238"/>
      <c r="B110" s="252" t="s">
        <v>355</v>
      </c>
      <c r="C110" s="240"/>
      <c r="D110" s="256"/>
      <c r="E110" s="250"/>
      <c r="F110" s="274">
        <f>SUM(F106:F109)</f>
        <v>79116.75</v>
      </c>
    </row>
    <row r="111" spans="1:6">
      <c r="A111" s="238">
        <v>19</v>
      </c>
      <c r="B111" s="239" t="s">
        <v>390</v>
      </c>
      <c r="C111" s="240" t="s">
        <v>40</v>
      </c>
      <c r="D111" s="256"/>
      <c r="E111" s="250"/>
      <c r="F111" s="279"/>
    </row>
    <row r="112" spans="1:6">
      <c r="A112" s="238"/>
      <c r="B112" s="280" t="s">
        <v>357</v>
      </c>
      <c r="C112" s="248" t="s">
        <v>289</v>
      </c>
      <c r="D112" s="249">
        <f>11.67</f>
        <v>11.67</v>
      </c>
      <c r="E112" s="250">
        <f>E44</f>
        <v>1262.5</v>
      </c>
      <c r="F112" s="269">
        <f>D112*E112</f>
        <v>14733.375</v>
      </c>
    </row>
    <row r="113" spans="1:6">
      <c r="A113" s="238"/>
      <c r="B113" s="280" t="s">
        <v>391</v>
      </c>
      <c r="C113" s="248" t="s">
        <v>289</v>
      </c>
      <c r="D113" s="282">
        <f>2.25+1.27</f>
        <v>3.52</v>
      </c>
      <c r="E113" s="250">
        <f>E112</f>
        <v>1262.5</v>
      </c>
      <c r="F113" s="269">
        <f>D113*E113</f>
        <v>4444</v>
      </c>
    </row>
    <row r="114" spans="1:6">
      <c r="A114" s="238"/>
      <c r="B114" s="280" t="s">
        <v>358</v>
      </c>
      <c r="C114" s="240" t="s">
        <v>37</v>
      </c>
      <c r="D114" s="246">
        <f>0.022*1.3*1.1</f>
        <v>3.1460000000000002E-2</v>
      </c>
      <c r="E114" s="247">
        <f>E45</f>
        <v>185000</v>
      </c>
      <c r="F114" s="269">
        <f>D114*E114</f>
        <v>5820.1</v>
      </c>
    </row>
    <row r="115" spans="1:6">
      <c r="A115" s="244"/>
      <c r="B115" s="280" t="s">
        <v>360</v>
      </c>
      <c r="C115" s="248" t="s">
        <v>25</v>
      </c>
      <c r="D115" s="249">
        <v>1</v>
      </c>
      <c r="E115" s="250">
        <v>5000</v>
      </c>
      <c r="F115" s="269">
        <f>D115*E115</f>
        <v>5000</v>
      </c>
    </row>
    <row r="116" spans="1:6" ht="15" thickBot="1">
      <c r="A116" s="244"/>
      <c r="B116" s="245" t="s">
        <v>354</v>
      </c>
      <c r="C116" s="240" t="s">
        <v>40</v>
      </c>
      <c r="D116" s="249">
        <v>1</v>
      </c>
      <c r="E116" s="250">
        <f>35000+2500</f>
        <v>37500</v>
      </c>
      <c r="F116" s="273">
        <f>D116*E116</f>
        <v>37500</v>
      </c>
    </row>
    <row r="117" spans="1:6">
      <c r="A117" s="244"/>
      <c r="B117" s="252" t="s">
        <v>355</v>
      </c>
      <c r="C117" s="240"/>
      <c r="D117" s="256"/>
      <c r="E117" s="250"/>
      <c r="F117" s="274">
        <f>SUM(F112:F116)</f>
        <v>67497.475000000006</v>
      </c>
    </row>
    <row r="118" spans="1:6">
      <c r="A118" s="238">
        <v>20</v>
      </c>
      <c r="B118" s="239" t="s">
        <v>392</v>
      </c>
      <c r="C118" s="240" t="s">
        <v>40</v>
      </c>
      <c r="D118" s="256"/>
      <c r="E118" s="250"/>
      <c r="F118" s="269"/>
    </row>
    <row r="119" spans="1:6">
      <c r="A119" s="238"/>
      <c r="B119" s="245" t="s">
        <v>393</v>
      </c>
      <c r="C119" s="248" t="s">
        <v>289</v>
      </c>
      <c r="D119" s="283">
        <f>(20+2)*1.5+2</f>
        <v>35</v>
      </c>
      <c r="E119" s="250">
        <f>38400/50</f>
        <v>768</v>
      </c>
      <c r="F119" s="269">
        <f>D119*E119</f>
        <v>26880</v>
      </c>
    </row>
    <row r="120" spans="1:6">
      <c r="A120" s="238"/>
      <c r="B120" s="245" t="s">
        <v>360</v>
      </c>
      <c r="C120" s="248" t="s">
        <v>25</v>
      </c>
      <c r="D120" s="282">
        <v>1</v>
      </c>
      <c r="E120" s="250">
        <v>2500</v>
      </c>
      <c r="F120" s="269">
        <f>D120*E120</f>
        <v>2500</v>
      </c>
    </row>
    <row r="121" spans="1:6" ht="15" thickBot="1">
      <c r="A121" s="238"/>
      <c r="B121" s="245" t="s">
        <v>354</v>
      </c>
      <c r="C121" s="240" t="s">
        <v>40</v>
      </c>
      <c r="D121" s="282">
        <v>1</v>
      </c>
      <c r="E121" s="250">
        <v>27500</v>
      </c>
      <c r="F121" s="284">
        <f>D121*E121</f>
        <v>27500</v>
      </c>
    </row>
    <row r="122" spans="1:6">
      <c r="A122" s="238"/>
      <c r="B122" s="252" t="s">
        <v>355</v>
      </c>
      <c r="C122" s="240"/>
      <c r="D122" s="256"/>
      <c r="E122" s="250"/>
      <c r="F122" s="271">
        <f>SUM(F119:F121)</f>
        <v>56880</v>
      </c>
    </row>
    <row r="123" spans="1:6">
      <c r="A123" s="238">
        <v>21</v>
      </c>
      <c r="B123" s="239" t="s">
        <v>394</v>
      </c>
      <c r="C123" s="240" t="s">
        <v>350</v>
      </c>
      <c r="D123" s="256"/>
      <c r="E123" s="250"/>
      <c r="F123" s="269"/>
    </row>
    <row r="124" spans="1:6">
      <c r="A124" s="238"/>
      <c r="B124" s="245" t="s">
        <v>395</v>
      </c>
      <c r="C124" s="248" t="s">
        <v>289</v>
      </c>
      <c r="D124" s="249">
        <f>0.82*1.1</f>
        <v>0.90200000000000002</v>
      </c>
      <c r="E124" s="250">
        <f>78800/40</f>
        <v>1970</v>
      </c>
      <c r="F124" s="269">
        <f>D124*E124</f>
        <v>1776.94</v>
      </c>
    </row>
    <row r="125" spans="1:6" ht="15" thickBot="1">
      <c r="A125" s="238"/>
      <c r="B125" s="245" t="s">
        <v>354</v>
      </c>
      <c r="C125" s="240" t="s">
        <v>350</v>
      </c>
      <c r="D125" s="249">
        <v>1</v>
      </c>
      <c r="E125" s="250">
        <v>20000</v>
      </c>
      <c r="F125" s="273">
        <f>D125*E125</f>
        <v>20000</v>
      </c>
    </row>
    <row r="126" spans="1:6">
      <c r="A126" s="238"/>
      <c r="B126" s="252" t="s">
        <v>355</v>
      </c>
      <c r="C126" s="240"/>
      <c r="D126" s="256"/>
      <c r="E126" s="250"/>
      <c r="F126" s="274">
        <f>SUM(F124:F125)</f>
        <v>21776.94</v>
      </c>
    </row>
    <row r="127" spans="1:6">
      <c r="A127" s="238">
        <v>22</v>
      </c>
      <c r="B127" s="239" t="s">
        <v>396</v>
      </c>
      <c r="C127" s="240" t="s">
        <v>40</v>
      </c>
      <c r="D127" s="256"/>
      <c r="E127" s="250"/>
      <c r="F127" s="279"/>
    </row>
    <row r="128" spans="1:6">
      <c r="A128" s="238"/>
      <c r="B128" s="245" t="s">
        <v>397</v>
      </c>
      <c r="C128" s="248" t="s">
        <v>289</v>
      </c>
      <c r="D128" s="282">
        <f>2.25+1.27</f>
        <v>3.52</v>
      </c>
      <c r="E128" s="250">
        <f>49900/40</f>
        <v>1247.5</v>
      </c>
      <c r="F128" s="269">
        <f>D128*E128</f>
        <v>4391.2</v>
      </c>
    </row>
    <row r="129" spans="1:6">
      <c r="A129" s="238"/>
      <c r="B129" s="245" t="s">
        <v>360</v>
      </c>
      <c r="C129" s="248" t="s">
        <v>25</v>
      </c>
      <c r="D129" s="282">
        <v>1</v>
      </c>
      <c r="E129" s="250">
        <f>2500*0</f>
        <v>0</v>
      </c>
      <c r="F129" s="269">
        <f>D129*E129</f>
        <v>0</v>
      </c>
    </row>
    <row r="130" spans="1:6" ht="15" thickBot="1">
      <c r="A130" s="238"/>
      <c r="B130" s="245" t="s">
        <v>354</v>
      </c>
      <c r="C130" s="240" t="s">
        <v>40</v>
      </c>
      <c r="D130" s="282">
        <v>1</v>
      </c>
      <c r="E130" s="250">
        <v>10000</v>
      </c>
      <c r="F130" s="273">
        <f>D130*E130</f>
        <v>10000</v>
      </c>
    </row>
    <row r="131" spans="1:6">
      <c r="A131" s="238"/>
      <c r="B131" s="252" t="s">
        <v>355</v>
      </c>
      <c r="C131" s="240"/>
      <c r="D131" s="256"/>
      <c r="E131" s="250"/>
      <c r="F131" s="274">
        <f>SUM(F128:F130)</f>
        <v>14391.2</v>
      </c>
    </row>
    <row r="132" spans="1:6">
      <c r="A132" s="238">
        <v>23</v>
      </c>
      <c r="B132" s="239" t="s">
        <v>398</v>
      </c>
      <c r="C132" s="240" t="s">
        <v>40</v>
      </c>
      <c r="D132" s="256"/>
      <c r="E132" s="250"/>
      <c r="F132" s="269"/>
    </row>
    <row r="133" spans="1:6">
      <c r="A133" s="238"/>
      <c r="B133" s="245" t="s">
        <v>395</v>
      </c>
      <c r="C133" s="248" t="s">
        <v>289</v>
      </c>
      <c r="D133" s="249">
        <v>3.52</v>
      </c>
      <c r="E133" s="250">
        <f>E124</f>
        <v>1970</v>
      </c>
      <c r="F133" s="269">
        <f>D133*E133</f>
        <v>6934.4</v>
      </c>
    </row>
    <row r="134" spans="1:6">
      <c r="A134" s="238"/>
      <c r="B134" s="245" t="s">
        <v>360</v>
      </c>
      <c r="C134" s="248" t="s">
        <v>25</v>
      </c>
      <c r="D134" s="249">
        <v>1</v>
      </c>
      <c r="E134" s="250">
        <v>2500</v>
      </c>
      <c r="F134" s="269">
        <f>D134*E134</f>
        <v>2500</v>
      </c>
    </row>
    <row r="135" spans="1:6" ht="15" thickBot="1">
      <c r="A135" s="244"/>
      <c r="B135" s="245" t="s">
        <v>354</v>
      </c>
      <c r="C135" s="240" t="s">
        <v>40</v>
      </c>
      <c r="D135" s="249">
        <v>1</v>
      </c>
      <c r="E135" s="250">
        <v>15000</v>
      </c>
      <c r="F135" s="270">
        <f>D135*E135</f>
        <v>15000</v>
      </c>
    </row>
    <row r="136" spans="1:6">
      <c r="A136" s="244"/>
      <c r="B136" s="252" t="s">
        <v>355</v>
      </c>
      <c r="C136" s="240"/>
      <c r="D136" s="256"/>
      <c r="E136" s="250"/>
      <c r="F136" s="271">
        <f>SUM(F133:F135)</f>
        <v>24434.400000000001</v>
      </c>
    </row>
    <row r="137" spans="1:6">
      <c r="A137" s="238">
        <v>24</v>
      </c>
      <c r="B137" s="239" t="s">
        <v>399</v>
      </c>
      <c r="C137" s="240" t="s">
        <v>40</v>
      </c>
      <c r="D137" s="256"/>
      <c r="E137" s="250"/>
      <c r="F137" s="269"/>
    </row>
    <row r="138" spans="1:6">
      <c r="A138" s="238"/>
      <c r="B138" s="285" t="s">
        <v>400</v>
      </c>
      <c r="C138" s="286" t="s">
        <v>289</v>
      </c>
      <c r="D138" s="249">
        <f>9*1.5</f>
        <v>13.5</v>
      </c>
      <c r="E138" s="250">
        <f>63000/40</f>
        <v>1575</v>
      </c>
      <c r="F138" s="269">
        <f>D138*E138</f>
        <v>21262.5</v>
      </c>
    </row>
    <row r="139" spans="1:6">
      <c r="A139" s="238"/>
      <c r="B139" s="285" t="s">
        <v>401</v>
      </c>
      <c r="C139" s="286" t="s">
        <v>289</v>
      </c>
      <c r="D139" s="249">
        <v>0.2</v>
      </c>
      <c r="E139" s="250">
        <v>15000</v>
      </c>
      <c r="F139" s="269">
        <f>D139*E139</f>
        <v>3000</v>
      </c>
    </row>
    <row r="140" spans="1:6">
      <c r="A140" s="238"/>
      <c r="B140" s="285" t="s">
        <v>402</v>
      </c>
      <c r="C140" s="286" t="s">
        <v>25</v>
      </c>
      <c r="D140" s="249">
        <v>1</v>
      </c>
      <c r="E140" s="250">
        <v>5000</v>
      </c>
      <c r="F140" s="269">
        <f>D140*E140</f>
        <v>5000</v>
      </c>
    </row>
    <row r="141" spans="1:6" ht="15" thickBot="1">
      <c r="A141" s="238"/>
      <c r="B141" s="245" t="s">
        <v>354</v>
      </c>
      <c r="C141" s="240" t="s">
        <v>40</v>
      </c>
      <c r="D141" s="249">
        <v>1</v>
      </c>
      <c r="E141" s="250">
        <v>50000</v>
      </c>
      <c r="F141" s="273">
        <f>D141*E141</f>
        <v>50000</v>
      </c>
    </row>
    <row r="142" spans="1:6">
      <c r="A142" s="238"/>
      <c r="B142" s="252" t="s">
        <v>355</v>
      </c>
      <c r="C142" s="240"/>
      <c r="D142" s="256"/>
      <c r="E142" s="250"/>
      <c r="F142" s="274">
        <f>SUM(F138:F141)</f>
        <v>79262.5</v>
      </c>
    </row>
    <row r="143" spans="1:6">
      <c r="A143" s="238">
        <v>25</v>
      </c>
      <c r="B143" s="239" t="s">
        <v>403</v>
      </c>
      <c r="C143" s="240" t="s">
        <v>40</v>
      </c>
      <c r="D143" s="256"/>
      <c r="E143" s="250"/>
      <c r="F143" s="269"/>
    </row>
    <row r="144" spans="1:6">
      <c r="A144" s="238"/>
      <c r="B144" s="245" t="s">
        <v>404</v>
      </c>
      <c r="C144" s="240" t="s">
        <v>40</v>
      </c>
      <c r="D144" s="249">
        <v>1</v>
      </c>
      <c r="E144" s="250">
        <v>50000</v>
      </c>
      <c r="F144" s="269">
        <f>D144*E144</f>
        <v>50000</v>
      </c>
    </row>
    <row r="145" spans="1:10" ht="15" thickBot="1">
      <c r="A145" s="244"/>
      <c r="B145" s="245" t="s">
        <v>405</v>
      </c>
      <c r="C145" s="240" t="s">
        <v>40</v>
      </c>
      <c r="D145" s="249">
        <v>1</v>
      </c>
      <c r="E145" s="250">
        <v>25000</v>
      </c>
      <c r="F145" s="270">
        <f>D145*E145</f>
        <v>25000</v>
      </c>
    </row>
    <row r="146" spans="1:10">
      <c r="A146" s="244"/>
      <c r="B146" s="252" t="s">
        <v>355</v>
      </c>
      <c r="C146" s="240"/>
      <c r="D146" s="249"/>
      <c r="E146" s="250"/>
      <c r="F146" s="271">
        <f>SUM(F144:F145)</f>
        <v>75000</v>
      </c>
    </row>
    <row r="147" spans="1:10">
      <c r="A147" s="238">
        <v>26</v>
      </c>
      <c r="B147" s="239" t="s">
        <v>406</v>
      </c>
      <c r="C147" s="240" t="s">
        <v>40</v>
      </c>
      <c r="D147" s="249"/>
      <c r="E147" s="250"/>
      <c r="F147" s="279"/>
    </row>
    <row r="148" spans="1:10">
      <c r="A148" s="244"/>
      <c r="B148" s="245" t="s">
        <v>404</v>
      </c>
      <c r="C148" s="240" t="s">
        <v>40</v>
      </c>
      <c r="D148" s="249">
        <v>1</v>
      </c>
      <c r="E148" s="250">
        <f>E144</f>
        <v>50000</v>
      </c>
      <c r="F148" s="269">
        <f>D148*E148</f>
        <v>50000</v>
      </c>
    </row>
    <row r="149" spans="1:10" ht="15" thickBot="1">
      <c r="A149" s="244"/>
      <c r="B149" s="245" t="s">
        <v>407</v>
      </c>
      <c r="C149" s="240" t="s">
        <v>40</v>
      </c>
      <c r="D149" s="249">
        <v>1</v>
      </c>
      <c r="E149" s="250">
        <v>45000</v>
      </c>
      <c r="F149" s="281">
        <f>D149*E149</f>
        <v>45000</v>
      </c>
    </row>
    <row r="150" spans="1:10">
      <c r="A150" s="244"/>
      <c r="B150" s="252" t="s">
        <v>355</v>
      </c>
      <c r="C150" s="240"/>
      <c r="D150" s="249"/>
      <c r="E150" s="250"/>
      <c r="F150" s="287">
        <f>SUM(F148:F149)</f>
        <v>95000</v>
      </c>
    </row>
    <row r="151" spans="1:10">
      <c r="A151" s="238">
        <v>27</v>
      </c>
      <c r="B151" s="239" t="s">
        <v>408</v>
      </c>
      <c r="C151" s="240" t="s">
        <v>40</v>
      </c>
      <c r="D151" s="249"/>
      <c r="E151" s="250"/>
      <c r="F151" s="269"/>
    </row>
    <row r="152" spans="1:10">
      <c r="A152" s="238"/>
      <c r="B152" s="285" t="s">
        <v>400</v>
      </c>
      <c r="C152" s="248" t="s">
        <v>289</v>
      </c>
      <c r="D152" s="249">
        <f>7.5*1.2</f>
        <v>9</v>
      </c>
      <c r="E152" s="250">
        <f>E138</f>
        <v>1575</v>
      </c>
      <c r="F152" s="269">
        <f>D152*E152</f>
        <v>14175</v>
      </c>
      <c r="J152" s="486"/>
    </row>
    <row r="153" spans="1:10">
      <c r="A153" s="238"/>
      <c r="B153" s="285" t="s">
        <v>401</v>
      </c>
      <c r="C153" s="286" t="s">
        <v>289</v>
      </c>
      <c r="D153" s="249">
        <v>0.2</v>
      </c>
      <c r="E153" s="250">
        <f>E139</f>
        <v>15000</v>
      </c>
      <c r="F153" s="269">
        <f>D153*E153</f>
        <v>3000</v>
      </c>
      <c r="J153" s="486"/>
    </row>
    <row r="154" spans="1:10">
      <c r="A154" s="238"/>
      <c r="B154" s="285" t="s">
        <v>402</v>
      </c>
      <c r="C154" s="286" t="s">
        <v>25</v>
      </c>
      <c r="D154" s="249">
        <v>1</v>
      </c>
      <c r="E154" s="250">
        <f>E140</f>
        <v>5000</v>
      </c>
      <c r="F154" s="269">
        <f>D154*E154</f>
        <v>5000</v>
      </c>
      <c r="J154" s="486"/>
    </row>
    <row r="155" spans="1:10" ht="15" thickBot="1">
      <c r="A155" s="238"/>
      <c r="B155" s="245" t="s">
        <v>354</v>
      </c>
      <c r="C155" s="240" t="s">
        <v>40</v>
      </c>
      <c r="D155" s="249">
        <v>1</v>
      </c>
      <c r="E155" s="250">
        <v>100000</v>
      </c>
      <c r="F155" s="270">
        <f>D155*E155</f>
        <v>100000</v>
      </c>
      <c r="J155" s="486"/>
    </row>
    <row r="156" spans="1:10">
      <c r="A156" s="238"/>
      <c r="B156" s="252" t="s">
        <v>355</v>
      </c>
      <c r="C156" s="240"/>
      <c r="D156" s="256"/>
      <c r="E156" s="250"/>
      <c r="F156" s="271">
        <f>SUM(F152:F155)</f>
        <v>122175</v>
      </c>
      <c r="J156" s="486"/>
    </row>
    <row r="157" spans="1:10">
      <c r="A157" s="238">
        <v>28</v>
      </c>
      <c r="B157" s="239" t="s">
        <v>409</v>
      </c>
      <c r="C157" s="240" t="s">
        <v>40</v>
      </c>
      <c r="D157" s="256"/>
      <c r="E157" s="250"/>
      <c r="F157" s="269"/>
    </row>
    <row r="158" spans="1:10">
      <c r="A158" s="238"/>
      <c r="B158" s="285" t="s">
        <v>410</v>
      </c>
      <c r="C158" s="248" t="s">
        <v>289</v>
      </c>
      <c r="D158" s="265">
        <f>12.05*1.2</f>
        <v>14.46</v>
      </c>
      <c r="E158" s="250">
        <f>84000/25</f>
        <v>3360</v>
      </c>
      <c r="F158" s="269">
        <f>D158*E158</f>
        <v>48585.600000000006</v>
      </c>
    </row>
    <row r="159" spans="1:10">
      <c r="A159" s="238"/>
      <c r="B159" s="245" t="s">
        <v>402</v>
      </c>
      <c r="C159" s="248" t="s">
        <v>25</v>
      </c>
      <c r="D159" s="265">
        <v>1</v>
      </c>
      <c r="E159" s="250">
        <v>35000</v>
      </c>
      <c r="F159" s="269">
        <f>D159*E159</f>
        <v>35000</v>
      </c>
    </row>
    <row r="160" spans="1:10" ht="15" thickBot="1">
      <c r="A160" s="238"/>
      <c r="B160" s="245" t="s">
        <v>386</v>
      </c>
      <c r="C160" s="240" t="s">
        <v>40</v>
      </c>
      <c r="D160" s="265">
        <v>1</v>
      </c>
      <c r="E160" s="250">
        <v>0</v>
      </c>
      <c r="F160" s="273">
        <f>D160*E160</f>
        <v>0</v>
      </c>
    </row>
    <row r="161" spans="1:6">
      <c r="A161" s="238"/>
      <c r="B161" s="252" t="s">
        <v>355</v>
      </c>
      <c r="C161" s="240"/>
      <c r="D161" s="256"/>
      <c r="E161" s="250"/>
      <c r="F161" s="274">
        <f>SUM(F158:F160)</f>
        <v>83585.600000000006</v>
      </c>
    </row>
    <row r="162" spans="1:6">
      <c r="A162" s="238">
        <v>29</v>
      </c>
      <c r="B162" s="239" t="s">
        <v>411</v>
      </c>
      <c r="C162" s="240" t="s">
        <v>40</v>
      </c>
      <c r="D162" s="256"/>
      <c r="E162" s="250"/>
      <c r="F162" s="269"/>
    </row>
    <row r="163" spans="1:6">
      <c r="A163" s="238"/>
      <c r="B163" s="245" t="s">
        <v>412</v>
      </c>
      <c r="C163" s="248" t="s">
        <v>289</v>
      </c>
      <c r="D163" s="265">
        <f>1.5*2+0.5</f>
        <v>3.5</v>
      </c>
      <c r="E163" s="250">
        <f>300000/20</f>
        <v>15000</v>
      </c>
      <c r="F163" s="269">
        <f>D163*E163</f>
        <v>52500</v>
      </c>
    </row>
    <row r="164" spans="1:6" ht="15" thickBot="1">
      <c r="A164" s="244"/>
      <c r="B164" s="245" t="s">
        <v>354</v>
      </c>
      <c r="C164" s="240" t="s">
        <v>40</v>
      </c>
      <c r="D164" s="265">
        <v>1</v>
      </c>
      <c r="E164" s="250">
        <v>12500</v>
      </c>
      <c r="F164" s="270">
        <f>D164*E164</f>
        <v>12500</v>
      </c>
    </row>
    <row r="165" spans="1:6">
      <c r="A165" s="244"/>
      <c r="B165" s="252" t="s">
        <v>355</v>
      </c>
      <c r="C165" s="240"/>
      <c r="D165" s="256"/>
      <c r="E165" s="250"/>
      <c r="F165" s="271">
        <f>SUM(F163:F164)</f>
        <v>65000</v>
      </c>
    </row>
    <row r="166" spans="1:6">
      <c r="A166" s="238">
        <v>30</v>
      </c>
      <c r="B166" s="239" t="s">
        <v>413</v>
      </c>
      <c r="C166" s="288" t="s">
        <v>40</v>
      </c>
      <c r="D166" s="256"/>
      <c r="E166" s="250"/>
      <c r="F166" s="269"/>
    </row>
    <row r="167" spans="1:6">
      <c r="A167" s="238"/>
      <c r="B167" s="245" t="s">
        <v>414</v>
      </c>
      <c r="C167" s="248" t="s">
        <v>369</v>
      </c>
      <c r="D167" s="265">
        <v>0.4</v>
      </c>
      <c r="E167" s="250">
        <v>3000</v>
      </c>
      <c r="F167" s="269">
        <f t="shared" ref="F167:F172" si="0">D167*E167</f>
        <v>1200</v>
      </c>
    </row>
    <row r="168" spans="1:6">
      <c r="A168" s="238"/>
      <c r="B168" s="245" t="s">
        <v>415</v>
      </c>
      <c r="C168" s="248" t="s">
        <v>416</v>
      </c>
      <c r="D168" s="256">
        <v>0.125</v>
      </c>
      <c r="E168" s="250">
        <f>685500/20</f>
        <v>34275</v>
      </c>
      <c r="F168" s="269">
        <f t="shared" si="0"/>
        <v>4284.375</v>
      </c>
    </row>
    <row r="169" spans="1:6">
      <c r="A169" s="238"/>
      <c r="B169" s="245" t="s">
        <v>417</v>
      </c>
      <c r="C169" s="248" t="s">
        <v>25</v>
      </c>
      <c r="D169" s="256">
        <v>1</v>
      </c>
      <c r="E169" s="250">
        <v>5000</v>
      </c>
      <c r="F169" s="269">
        <f t="shared" si="0"/>
        <v>5000</v>
      </c>
    </row>
    <row r="170" spans="1:6">
      <c r="A170" s="238"/>
      <c r="B170" s="245" t="s">
        <v>418</v>
      </c>
      <c r="C170" s="248" t="s">
        <v>35</v>
      </c>
      <c r="D170" s="265">
        <v>0.02</v>
      </c>
      <c r="E170" s="250">
        <v>40000</v>
      </c>
      <c r="F170" s="269">
        <f t="shared" si="0"/>
        <v>800</v>
      </c>
    </row>
    <row r="171" spans="1:6">
      <c r="A171" s="238"/>
      <c r="B171" s="245" t="s">
        <v>514</v>
      </c>
      <c r="C171" s="288" t="s">
        <v>40</v>
      </c>
      <c r="D171" s="256">
        <f>1/3.5</f>
        <v>0.2857142857142857</v>
      </c>
      <c r="E171" s="250">
        <f>1454000/20</f>
        <v>72700</v>
      </c>
      <c r="F171" s="269">
        <f t="shared" si="0"/>
        <v>20771.428571428569</v>
      </c>
    </row>
    <row r="172" spans="1:6" ht="15" thickBot="1">
      <c r="A172" s="238"/>
      <c r="B172" s="280" t="s">
        <v>354</v>
      </c>
      <c r="C172" s="288" t="s">
        <v>40</v>
      </c>
      <c r="D172" s="289">
        <v>1</v>
      </c>
      <c r="E172" s="290">
        <v>15000</v>
      </c>
      <c r="F172" s="273">
        <f t="shared" si="0"/>
        <v>15000</v>
      </c>
    </row>
    <row r="173" spans="1:6">
      <c r="A173" s="238"/>
      <c r="B173" s="252" t="s">
        <v>355</v>
      </c>
      <c r="C173" s="288"/>
      <c r="D173" s="291"/>
      <c r="E173" s="290"/>
      <c r="F173" s="274">
        <f>SUM(F167:F172)</f>
        <v>47055.803571428565</v>
      </c>
    </row>
    <row r="174" spans="1:6">
      <c r="A174" s="238">
        <v>31</v>
      </c>
      <c r="B174" s="239" t="s">
        <v>419</v>
      </c>
      <c r="C174" s="240" t="s">
        <v>40</v>
      </c>
      <c r="D174" s="256"/>
      <c r="E174" s="250"/>
      <c r="F174" s="279"/>
    </row>
    <row r="175" spans="1:6">
      <c r="A175" s="238"/>
      <c r="B175" s="245" t="s">
        <v>414</v>
      </c>
      <c r="C175" s="248" t="s">
        <v>369</v>
      </c>
      <c r="D175" s="265">
        <v>0.4</v>
      </c>
      <c r="E175" s="250">
        <f>E167</f>
        <v>3000</v>
      </c>
      <c r="F175" s="269">
        <f t="shared" ref="F175:F180" si="1">D175*E175</f>
        <v>1200</v>
      </c>
    </row>
    <row r="176" spans="1:6">
      <c r="A176" s="238"/>
      <c r="B176" s="245" t="s">
        <v>420</v>
      </c>
      <c r="C176" s="248" t="s">
        <v>416</v>
      </c>
      <c r="D176" s="265">
        <v>0.125</v>
      </c>
      <c r="E176" s="250">
        <f>E168</f>
        <v>34275</v>
      </c>
      <c r="F176" s="269">
        <f t="shared" si="1"/>
        <v>4284.375</v>
      </c>
    </row>
    <row r="177" spans="1:6">
      <c r="A177" s="238"/>
      <c r="B177" s="245" t="s">
        <v>421</v>
      </c>
      <c r="C177" s="248" t="s">
        <v>25</v>
      </c>
      <c r="D177" s="265">
        <v>1</v>
      </c>
      <c r="E177" s="250">
        <f>E169</f>
        <v>5000</v>
      </c>
      <c r="F177" s="269">
        <f t="shared" si="1"/>
        <v>5000</v>
      </c>
    </row>
    <row r="178" spans="1:6">
      <c r="A178" s="238"/>
      <c r="B178" s="245" t="s">
        <v>418</v>
      </c>
      <c r="C178" s="248" t="s">
        <v>35</v>
      </c>
      <c r="D178" s="265">
        <v>0.02</v>
      </c>
      <c r="E178" s="250">
        <f>E170</f>
        <v>40000</v>
      </c>
      <c r="F178" s="269">
        <f t="shared" si="1"/>
        <v>800</v>
      </c>
    </row>
    <row r="179" spans="1:6">
      <c r="A179" s="238"/>
      <c r="B179" s="245" t="s">
        <v>514</v>
      </c>
      <c r="C179" s="240" t="s">
        <v>40</v>
      </c>
      <c r="D179" s="256">
        <f>1/3.5</f>
        <v>0.2857142857142857</v>
      </c>
      <c r="E179" s="250">
        <f>1454000/20</f>
        <v>72700</v>
      </c>
      <c r="F179" s="269">
        <f t="shared" si="1"/>
        <v>20771.428571428569</v>
      </c>
    </row>
    <row r="180" spans="1:6" ht="15" thickBot="1">
      <c r="A180" s="238"/>
      <c r="B180" s="245" t="s">
        <v>354</v>
      </c>
      <c r="C180" s="240" t="s">
        <v>40</v>
      </c>
      <c r="D180" s="265">
        <v>1</v>
      </c>
      <c r="E180" s="250">
        <v>15000</v>
      </c>
      <c r="F180" s="281">
        <f t="shared" si="1"/>
        <v>15000</v>
      </c>
    </row>
    <row r="181" spans="1:6">
      <c r="A181" s="238"/>
      <c r="B181" s="252" t="s">
        <v>355</v>
      </c>
      <c r="C181" s="240"/>
      <c r="D181" s="256"/>
      <c r="E181" s="250"/>
      <c r="F181" s="274">
        <f>SUM(F175:F180)</f>
        <v>47055.803571428565</v>
      </c>
    </row>
    <row r="182" spans="1:6">
      <c r="A182" s="238">
        <v>32</v>
      </c>
      <c r="B182" s="239" t="s">
        <v>422</v>
      </c>
      <c r="C182" s="240" t="s">
        <v>40</v>
      </c>
      <c r="D182" s="256"/>
      <c r="E182" s="250"/>
      <c r="F182" s="269"/>
    </row>
    <row r="183" spans="1:6">
      <c r="A183" s="238"/>
      <c r="B183" s="245" t="s">
        <v>414</v>
      </c>
      <c r="C183" s="248" t="s">
        <v>369</v>
      </c>
      <c r="D183" s="265">
        <v>0.4</v>
      </c>
      <c r="E183" s="250">
        <f>E167</f>
        <v>3000</v>
      </c>
      <c r="F183" s="269">
        <f t="shared" ref="F183:F188" si="2">D183*E183</f>
        <v>1200</v>
      </c>
    </row>
    <row r="184" spans="1:6">
      <c r="A184" s="244"/>
      <c r="B184" s="245" t="s">
        <v>420</v>
      </c>
      <c r="C184" s="248" t="s">
        <v>416</v>
      </c>
      <c r="D184" s="265">
        <v>0.125</v>
      </c>
      <c r="E184" s="250">
        <f>E176</f>
        <v>34275</v>
      </c>
      <c r="F184" s="269">
        <f t="shared" si="2"/>
        <v>4284.375</v>
      </c>
    </row>
    <row r="185" spans="1:6">
      <c r="A185" s="244"/>
      <c r="B185" s="245" t="s">
        <v>421</v>
      </c>
      <c r="C185" s="248" t="s">
        <v>25</v>
      </c>
      <c r="D185" s="265">
        <v>1</v>
      </c>
      <c r="E185" s="250">
        <f>2500*2</f>
        <v>5000</v>
      </c>
      <c r="F185" s="269">
        <f t="shared" si="2"/>
        <v>5000</v>
      </c>
    </row>
    <row r="186" spans="1:6">
      <c r="A186" s="244"/>
      <c r="B186" s="245" t="s">
        <v>418</v>
      </c>
      <c r="C186" s="248" t="s">
        <v>35</v>
      </c>
      <c r="D186" s="265">
        <f>D170</f>
        <v>0.02</v>
      </c>
      <c r="E186" s="250">
        <f>E170</f>
        <v>40000</v>
      </c>
      <c r="F186" s="269">
        <f t="shared" si="2"/>
        <v>800</v>
      </c>
    </row>
    <row r="187" spans="1:6">
      <c r="A187" s="244"/>
      <c r="B187" s="245" t="s">
        <v>514</v>
      </c>
      <c r="C187" s="240" t="s">
        <v>40</v>
      </c>
      <c r="D187" s="256">
        <f>1/3.5</f>
        <v>0.2857142857142857</v>
      </c>
      <c r="E187" s="250">
        <f>E179</f>
        <v>72700</v>
      </c>
      <c r="F187" s="269">
        <f t="shared" si="2"/>
        <v>20771.428571428569</v>
      </c>
    </row>
    <row r="188" spans="1:6" ht="15" thickBot="1">
      <c r="A188" s="244"/>
      <c r="B188" s="245" t="s">
        <v>354</v>
      </c>
      <c r="C188" s="240" t="s">
        <v>40</v>
      </c>
      <c r="D188" s="265">
        <v>1</v>
      </c>
      <c r="E188" s="250">
        <v>15000</v>
      </c>
      <c r="F188" s="270">
        <f t="shared" si="2"/>
        <v>15000</v>
      </c>
    </row>
    <row r="189" spans="1:6">
      <c r="A189" s="244"/>
      <c r="B189" s="252" t="s">
        <v>355</v>
      </c>
      <c r="C189" s="240"/>
      <c r="D189" s="256"/>
      <c r="E189" s="250"/>
      <c r="F189" s="271">
        <f>SUM(F183:F188)</f>
        <v>47055.803571428565</v>
      </c>
    </row>
    <row r="190" spans="1:6">
      <c r="A190" s="238">
        <v>33</v>
      </c>
      <c r="B190" s="239" t="s">
        <v>423</v>
      </c>
      <c r="C190" s="240" t="s">
        <v>350</v>
      </c>
      <c r="D190" s="256"/>
      <c r="E190" s="250"/>
      <c r="F190" s="269"/>
    </row>
    <row r="191" spans="1:6">
      <c r="A191" s="238"/>
      <c r="B191" s="245" t="s">
        <v>424</v>
      </c>
      <c r="C191" s="240" t="s">
        <v>350</v>
      </c>
      <c r="D191" s="265">
        <f>1*1.1</f>
        <v>1.1000000000000001</v>
      </c>
      <c r="E191" s="250">
        <v>10000</v>
      </c>
      <c r="F191" s="269">
        <f>D191*E191</f>
        <v>11000</v>
      </c>
    </row>
    <row r="192" spans="1:6">
      <c r="A192" s="238"/>
      <c r="B192" s="245" t="s">
        <v>425</v>
      </c>
      <c r="C192" s="240" t="s">
        <v>350</v>
      </c>
      <c r="D192" s="265">
        <v>2</v>
      </c>
      <c r="E192" s="250">
        <v>7500</v>
      </c>
      <c r="F192" s="269">
        <f>D192*E192</f>
        <v>15000</v>
      </c>
    </row>
    <row r="193" spans="1:6" ht="15" thickBot="1">
      <c r="A193" s="238"/>
      <c r="B193" s="245" t="s">
        <v>354</v>
      </c>
      <c r="C193" s="240" t="s">
        <v>350</v>
      </c>
      <c r="D193" s="265">
        <v>1</v>
      </c>
      <c r="E193" s="250">
        <f>E125</f>
        <v>20000</v>
      </c>
      <c r="F193" s="273">
        <f>D193*E193</f>
        <v>20000</v>
      </c>
    </row>
    <row r="194" spans="1:6">
      <c r="A194" s="238"/>
      <c r="B194" s="252" t="s">
        <v>355</v>
      </c>
      <c r="C194" s="240"/>
      <c r="D194" s="256"/>
      <c r="E194" s="250"/>
      <c r="F194" s="274">
        <f>SUM(F191:F193)</f>
        <v>46000</v>
      </c>
    </row>
    <row r="195" spans="1:6">
      <c r="A195" s="238">
        <v>34</v>
      </c>
      <c r="B195" s="239" t="s">
        <v>426</v>
      </c>
      <c r="C195" s="240" t="s">
        <v>350</v>
      </c>
      <c r="D195" s="256"/>
      <c r="E195" s="250"/>
      <c r="F195" s="269"/>
    </row>
    <row r="196" spans="1:6">
      <c r="A196" s="238"/>
      <c r="B196" s="245" t="s">
        <v>427</v>
      </c>
      <c r="C196" s="240" t="s">
        <v>350</v>
      </c>
      <c r="D196" s="265">
        <f>1*1.1</f>
        <v>1.1000000000000001</v>
      </c>
      <c r="E196" s="250">
        <v>12500</v>
      </c>
      <c r="F196" s="269">
        <f>D196*E196</f>
        <v>13750.000000000002</v>
      </c>
    </row>
    <row r="197" spans="1:6" ht="15" thickBot="1">
      <c r="A197" s="238"/>
      <c r="B197" s="245" t="s">
        <v>354</v>
      </c>
      <c r="C197" s="240" t="s">
        <v>350</v>
      </c>
      <c r="D197" s="265">
        <v>1</v>
      </c>
      <c r="E197" s="250">
        <v>20000</v>
      </c>
      <c r="F197" s="270">
        <f>D197*E197</f>
        <v>20000</v>
      </c>
    </row>
    <row r="198" spans="1:6">
      <c r="A198" s="238"/>
      <c r="B198" s="252" t="s">
        <v>355</v>
      </c>
      <c r="C198" s="240"/>
      <c r="D198" s="256"/>
      <c r="E198" s="250"/>
      <c r="F198" s="271">
        <f>SUM(F196:F197)</f>
        <v>33750</v>
      </c>
    </row>
    <row r="199" spans="1:6">
      <c r="A199" s="238">
        <v>35</v>
      </c>
      <c r="B199" s="239" t="s">
        <v>426</v>
      </c>
      <c r="C199" s="240" t="s">
        <v>350</v>
      </c>
      <c r="D199" s="256"/>
      <c r="E199" s="250"/>
      <c r="F199" s="269"/>
    </row>
    <row r="200" spans="1:6">
      <c r="A200" s="238"/>
      <c r="B200" s="245" t="s">
        <v>428</v>
      </c>
      <c r="C200" s="240" t="s">
        <v>350</v>
      </c>
      <c r="D200" s="265">
        <f>1*1.1</f>
        <v>1.1000000000000001</v>
      </c>
      <c r="E200" s="250">
        <v>6500</v>
      </c>
      <c r="F200" s="269">
        <f>D200*E200</f>
        <v>7150.0000000000009</v>
      </c>
    </row>
    <row r="201" spans="1:6" ht="15" thickBot="1">
      <c r="A201" s="238"/>
      <c r="B201" s="245" t="s">
        <v>354</v>
      </c>
      <c r="C201" s="240" t="s">
        <v>350</v>
      </c>
      <c r="D201" s="265">
        <v>1</v>
      </c>
      <c r="E201" s="250">
        <f>E193</f>
        <v>20000</v>
      </c>
      <c r="F201" s="270">
        <f>D201*E201</f>
        <v>20000</v>
      </c>
    </row>
    <row r="202" spans="1:6">
      <c r="A202" s="238"/>
      <c r="B202" s="252" t="s">
        <v>355</v>
      </c>
      <c r="C202" s="240"/>
      <c r="D202" s="256"/>
      <c r="E202" s="250"/>
      <c r="F202" s="271">
        <f>SUM(F200:F201)</f>
        <v>27150</v>
      </c>
    </row>
    <row r="203" spans="1:6">
      <c r="A203" s="238">
        <v>36</v>
      </c>
      <c r="B203" s="239" t="s">
        <v>429</v>
      </c>
      <c r="C203" s="240" t="s">
        <v>350</v>
      </c>
      <c r="D203" s="256"/>
      <c r="E203" s="250"/>
      <c r="F203" s="269"/>
    </row>
    <row r="204" spans="1:6">
      <c r="A204" s="238"/>
      <c r="B204" s="245" t="s">
        <v>430</v>
      </c>
      <c r="C204" s="240" t="s">
        <v>350</v>
      </c>
      <c r="D204" s="265">
        <f>1*1.1</f>
        <v>1.1000000000000001</v>
      </c>
      <c r="E204" s="250">
        <v>9500</v>
      </c>
      <c r="F204" s="269">
        <f>D204*E204</f>
        <v>10450</v>
      </c>
    </row>
    <row r="205" spans="1:6" ht="15" thickBot="1">
      <c r="A205" s="238"/>
      <c r="B205" s="245" t="s">
        <v>354</v>
      </c>
      <c r="C205" s="240" t="s">
        <v>350</v>
      </c>
      <c r="D205" s="265">
        <v>1</v>
      </c>
      <c r="E205" s="250">
        <v>10000</v>
      </c>
      <c r="F205" s="273">
        <f>D205*E205</f>
        <v>10000</v>
      </c>
    </row>
    <row r="206" spans="1:6">
      <c r="A206" s="238"/>
      <c r="B206" s="252" t="s">
        <v>355</v>
      </c>
      <c r="C206" s="240"/>
      <c r="D206" s="256"/>
      <c r="E206" s="250"/>
      <c r="F206" s="274">
        <f>SUM(F204:F205)</f>
        <v>20450</v>
      </c>
    </row>
    <row r="207" spans="1:6">
      <c r="A207" s="238">
        <v>37</v>
      </c>
      <c r="B207" s="292" t="s">
        <v>431</v>
      </c>
      <c r="C207" s="293" t="s">
        <v>40</v>
      </c>
      <c r="D207" s="256"/>
      <c r="E207" s="250"/>
      <c r="F207" s="269"/>
    </row>
    <row r="208" spans="1:6">
      <c r="A208" s="244"/>
      <c r="B208" s="285" t="s">
        <v>432</v>
      </c>
      <c r="C208" s="286" t="s">
        <v>289</v>
      </c>
      <c r="D208" s="265">
        <f>12.05*1.2</f>
        <v>14.46</v>
      </c>
      <c r="E208" s="250">
        <f>68300/40</f>
        <v>1707.5</v>
      </c>
      <c r="F208" s="269">
        <f>D208*E208</f>
        <v>24690.45</v>
      </c>
    </row>
    <row r="209" spans="1:6">
      <c r="A209" s="244"/>
      <c r="B209" s="285" t="s">
        <v>433</v>
      </c>
      <c r="C209" s="293" t="s">
        <v>40</v>
      </c>
      <c r="D209" s="256">
        <f>1/15.57</f>
        <v>6.4226075786769421E-2</v>
      </c>
      <c r="E209" s="250">
        <v>15000</v>
      </c>
      <c r="F209" s="269">
        <f>D209*E209</f>
        <v>963.39113680154128</v>
      </c>
    </row>
    <row r="210" spans="1:6">
      <c r="A210" s="244"/>
      <c r="B210" s="285" t="s">
        <v>402</v>
      </c>
      <c r="C210" s="286" t="s">
        <v>25</v>
      </c>
      <c r="D210" s="265">
        <v>1</v>
      </c>
      <c r="E210" s="250">
        <v>5000</v>
      </c>
      <c r="F210" s="269">
        <f>D210*E210</f>
        <v>5000</v>
      </c>
    </row>
    <row r="211" spans="1:6" ht="15" thickBot="1">
      <c r="A211" s="244"/>
      <c r="B211" s="285" t="s">
        <v>354</v>
      </c>
      <c r="C211" s="293" t="s">
        <v>40</v>
      </c>
      <c r="D211" s="265">
        <v>1</v>
      </c>
      <c r="E211" s="250">
        <v>100000</v>
      </c>
      <c r="F211" s="270">
        <f>D211*E211</f>
        <v>100000</v>
      </c>
    </row>
    <row r="212" spans="1:6">
      <c r="A212" s="244"/>
      <c r="B212" s="252" t="s">
        <v>355</v>
      </c>
      <c r="C212" s="265"/>
      <c r="D212" s="256"/>
      <c r="E212" s="250"/>
      <c r="F212" s="271">
        <f>SUM(F208:F211)</f>
        <v>130653.84113680154</v>
      </c>
    </row>
    <row r="213" spans="1:6">
      <c r="A213" s="238">
        <v>38</v>
      </c>
      <c r="B213" s="239" t="s">
        <v>434</v>
      </c>
      <c r="C213" s="240" t="s">
        <v>350</v>
      </c>
      <c r="D213" s="256"/>
      <c r="E213" s="250"/>
      <c r="F213" s="269"/>
    </row>
    <row r="214" spans="1:6">
      <c r="A214" s="238"/>
      <c r="B214" s="245" t="s">
        <v>435</v>
      </c>
      <c r="C214" s="240" t="s">
        <v>350</v>
      </c>
      <c r="D214" s="265">
        <f>1*1.1</f>
        <v>1.1000000000000001</v>
      </c>
      <c r="E214" s="250">
        <v>9500</v>
      </c>
      <c r="F214" s="269">
        <f>D214*E214</f>
        <v>10450</v>
      </c>
    </row>
    <row r="215" spans="1:6" ht="15" thickBot="1">
      <c r="A215" s="238"/>
      <c r="B215" s="245" t="s">
        <v>354</v>
      </c>
      <c r="C215" s="240" t="s">
        <v>350</v>
      </c>
      <c r="D215" s="265">
        <v>1</v>
      </c>
      <c r="E215" s="250">
        <f>E201</f>
        <v>20000</v>
      </c>
      <c r="F215" s="273">
        <f>D215*E215</f>
        <v>20000</v>
      </c>
    </row>
    <row r="216" spans="1:6">
      <c r="A216" s="238"/>
      <c r="B216" s="252" t="s">
        <v>355</v>
      </c>
      <c r="C216" s="259"/>
      <c r="D216" s="256"/>
      <c r="E216" s="250"/>
      <c r="F216" s="274">
        <f>SUM(F214:F215)</f>
        <v>30450</v>
      </c>
    </row>
    <row r="217" spans="1:6" s="461" customFormat="1" ht="12.9" customHeight="1">
      <c r="A217" s="455">
        <v>39</v>
      </c>
      <c r="B217" s="456" t="s">
        <v>557</v>
      </c>
      <c r="C217" s="457" t="s">
        <v>436</v>
      </c>
      <c r="D217" s="458"/>
      <c r="E217" s="459"/>
      <c r="F217" s="460"/>
    </row>
    <row r="218" spans="1:6" s="461" customFormat="1" ht="12.9" customHeight="1">
      <c r="A218" s="455"/>
      <c r="B218" s="462" t="s">
        <v>558</v>
      </c>
      <c r="C218" s="463" t="s">
        <v>37</v>
      </c>
      <c r="D218" s="464">
        <f>0.07/4</f>
        <v>1.7500000000000002E-2</v>
      </c>
      <c r="E218" s="459">
        <f>E64</f>
        <v>1850000</v>
      </c>
      <c r="F218" s="460">
        <f t="shared" ref="F218:F221" si="3">D218*E218</f>
        <v>32375.000000000004</v>
      </c>
    </row>
    <row r="219" spans="1:6" s="461" customFormat="1" ht="12.9" customHeight="1">
      <c r="A219" s="455"/>
      <c r="B219" s="462" t="s">
        <v>559</v>
      </c>
      <c r="C219" s="457" t="s">
        <v>369</v>
      </c>
      <c r="D219" s="464">
        <f>6/4</f>
        <v>1.5</v>
      </c>
      <c r="E219" s="459">
        <f>103000+2000</f>
        <v>105000</v>
      </c>
      <c r="F219" s="460">
        <f t="shared" si="3"/>
        <v>157500</v>
      </c>
    </row>
    <row r="220" spans="1:6" s="461" customFormat="1" ht="12.9" customHeight="1">
      <c r="A220" s="455"/>
      <c r="B220" s="462" t="s">
        <v>560</v>
      </c>
      <c r="C220" s="457" t="s">
        <v>35</v>
      </c>
      <c r="D220" s="464">
        <v>7</v>
      </c>
      <c r="E220" s="459">
        <v>250</v>
      </c>
      <c r="F220" s="460">
        <f t="shared" si="3"/>
        <v>1750</v>
      </c>
    </row>
    <row r="221" spans="1:6" s="461" customFormat="1" ht="12.9" customHeight="1">
      <c r="A221" s="455"/>
      <c r="B221" s="465" t="s">
        <v>561</v>
      </c>
      <c r="C221" s="466" t="s">
        <v>289</v>
      </c>
      <c r="D221" s="464">
        <f>1/5*2.4</f>
        <v>0.48</v>
      </c>
      <c r="E221" s="467">
        <f>600000/25</f>
        <v>24000</v>
      </c>
      <c r="F221" s="460">
        <f t="shared" si="3"/>
        <v>11520</v>
      </c>
    </row>
    <row r="222" spans="1:6" s="461" customFormat="1" ht="12.9" customHeight="1" thickBot="1">
      <c r="A222" s="455"/>
      <c r="B222" s="468" t="s">
        <v>386</v>
      </c>
      <c r="C222" s="457" t="s">
        <v>436</v>
      </c>
      <c r="D222" s="458">
        <v>1</v>
      </c>
      <c r="E222" s="459">
        <v>20000</v>
      </c>
      <c r="F222" s="469">
        <f>D222*E222</f>
        <v>20000</v>
      </c>
    </row>
    <row r="223" spans="1:6" s="461" customFormat="1" ht="12.9" customHeight="1">
      <c r="A223" s="455"/>
      <c r="B223" s="470"/>
      <c r="C223" s="457"/>
      <c r="D223" s="458"/>
      <c r="E223" s="459"/>
      <c r="F223" s="471">
        <f>SUM(F218:F222)</f>
        <v>223145</v>
      </c>
    </row>
    <row r="224" spans="1:6" ht="15" thickBot="1">
      <c r="A224" s="295"/>
      <c r="B224" s="296"/>
      <c r="C224" s="297"/>
      <c r="D224" s="298"/>
      <c r="E224" s="299"/>
      <c r="F224" s="300"/>
    </row>
    <row r="225" spans="1:6" ht="15.6">
      <c r="A225" s="226"/>
      <c r="B225" s="301"/>
      <c r="C225" s="302"/>
      <c r="D225" s="303"/>
      <c r="E225" s="304"/>
      <c r="F225" s="304"/>
    </row>
    <row r="226" spans="1:6" ht="15.6">
      <c r="A226" s="226"/>
      <c r="B226" s="301"/>
      <c r="C226" s="302"/>
      <c r="D226" s="303"/>
      <c r="E226" s="304"/>
      <c r="F226" s="304"/>
    </row>
    <row r="227" spans="1:6" ht="15.6">
      <c r="A227" s="226"/>
      <c r="B227" s="301"/>
      <c r="C227" s="302"/>
      <c r="D227" s="303"/>
      <c r="E227" s="304"/>
      <c r="F227" s="304"/>
    </row>
    <row r="228" spans="1:6" ht="15.6">
      <c r="A228" s="226"/>
      <c r="B228" s="305"/>
      <c r="C228" s="226"/>
      <c r="D228" s="306" t="s">
        <v>581</v>
      </c>
      <c r="E228" s="306"/>
      <c r="F228" s="306"/>
    </row>
    <row r="229" spans="1:6" ht="15.6">
      <c r="A229" s="305"/>
      <c r="B229" s="305"/>
      <c r="C229" s="305"/>
      <c r="D229" s="307" t="s">
        <v>437</v>
      </c>
      <c r="E229" s="307"/>
      <c r="F229" s="308"/>
    </row>
    <row r="230" spans="1:6" ht="15.6">
      <c r="A230" s="305"/>
      <c r="B230" s="305"/>
      <c r="C230" s="305"/>
      <c r="D230" s="309"/>
      <c r="E230" s="309"/>
      <c r="F230" s="310"/>
    </row>
    <row r="231" spans="1:6" ht="15.6">
      <c r="A231" s="305"/>
      <c r="B231" s="305"/>
      <c r="C231" s="305"/>
      <c r="D231" s="309"/>
      <c r="E231" s="309"/>
      <c r="F231" s="310"/>
    </row>
    <row r="232" spans="1:6" ht="15.6">
      <c r="A232" s="305"/>
      <c r="B232" s="305"/>
      <c r="C232" s="305"/>
      <c r="D232" s="309"/>
      <c r="E232" s="309"/>
      <c r="F232" s="310"/>
    </row>
    <row r="233" spans="1:6" ht="15.6">
      <c r="A233" s="305"/>
      <c r="B233" s="305"/>
      <c r="C233" s="305"/>
      <c r="D233" s="311"/>
      <c r="E233" s="311"/>
      <c r="F233" s="310"/>
    </row>
    <row r="234" spans="1:6" ht="15.6">
      <c r="A234" s="305"/>
      <c r="B234" s="305"/>
      <c r="C234" s="305"/>
      <c r="D234" s="311"/>
      <c r="E234" s="311"/>
      <c r="F234" s="306"/>
    </row>
    <row r="235" spans="1:6" ht="15.6">
      <c r="A235" s="305"/>
      <c r="B235" s="226"/>
      <c r="C235" s="305"/>
      <c r="D235" s="312" t="s">
        <v>438</v>
      </c>
      <c r="E235" s="312"/>
      <c r="F235" s="306"/>
    </row>
    <row r="236" spans="1:6" ht="15.6">
      <c r="A236" s="226"/>
      <c r="B236" s="305"/>
      <c r="C236" s="310"/>
      <c r="D236" s="310"/>
      <c r="E236" s="310"/>
      <c r="F236" s="310"/>
    </row>
    <row r="237" spans="1:6" ht="15.6">
      <c r="C237" s="310"/>
      <c r="D237" s="310"/>
      <c r="E237" s="310"/>
      <c r="F237" s="310"/>
    </row>
  </sheetData>
  <mergeCells count="6">
    <mergeCell ref="E1:F1"/>
    <mergeCell ref="A2:B2"/>
    <mergeCell ref="A5:A6"/>
    <mergeCell ref="B5:B6"/>
    <mergeCell ref="C5:C6"/>
    <mergeCell ref="D5:D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32"/>
  <sheetViews>
    <sheetView topLeftCell="A349" workbookViewId="0">
      <selection activeCell="D366" sqref="D366"/>
    </sheetView>
  </sheetViews>
  <sheetFormatPr defaultColWidth="9" defaultRowHeight="14.4"/>
  <cols>
    <col min="1" max="1" width="7.33203125" style="220" customWidth="1"/>
    <col min="2" max="2" width="46.109375" style="220" bestFit="1" customWidth="1"/>
    <col min="3" max="3" width="8.6640625" style="313" customWidth="1"/>
    <col min="4" max="4" width="11.77734375" style="220" customWidth="1"/>
    <col min="5" max="5" width="18.77734375" style="220" customWidth="1"/>
    <col min="6" max="6" width="22.6640625" style="220" customWidth="1"/>
    <col min="7" max="16384" width="9" style="220"/>
  </cols>
  <sheetData>
    <row r="2" spans="1:8" ht="16.5" customHeight="1">
      <c r="A2" s="314" t="s">
        <v>439</v>
      </c>
      <c r="B2" s="315"/>
      <c r="C2" s="316"/>
      <c r="D2" s="317"/>
      <c r="E2" s="318"/>
      <c r="F2" s="318"/>
    </row>
    <row r="3" spans="1:8" ht="15.75" customHeight="1">
      <c r="A3" s="223" t="s">
        <v>440</v>
      </c>
      <c r="B3" s="319"/>
      <c r="C3" s="320"/>
      <c r="D3" s="317"/>
      <c r="E3" s="321"/>
      <c r="F3" s="322"/>
    </row>
    <row r="4" spans="1:8" ht="12.75" customHeight="1">
      <c r="A4" s="323" t="s">
        <v>441</v>
      </c>
      <c r="B4" s="319"/>
      <c r="C4" s="324"/>
      <c r="D4" s="317"/>
      <c r="E4" s="322"/>
      <c r="F4" s="322"/>
    </row>
    <row r="5" spans="1:8" ht="6" customHeight="1" thickBot="1">
      <c r="A5" s="325"/>
      <c r="B5" s="326"/>
      <c r="C5" s="327"/>
      <c r="D5" s="328"/>
      <c r="E5" s="545"/>
      <c r="F5" s="546"/>
    </row>
    <row r="6" spans="1:8" ht="24" customHeight="1">
      <c r="A6" s="547" t="s">
        <v>343</v>
      </c>
      <c r="B6" s="549" t="s">
        <v>344</v>
      </c>
      <c r="C6" s="551" t="s">
        <v>345</v>
      </c>
      <c r="D6" s="549" t="s">
        <v>15</v>
      </c>
      <c r="E6" s="329" t="s">
        <v>346</v>
      </c>
      <c r="F6" s="330" t="s">
        <v>442</v>
      </c>
    </row>
    <row r="7" spans="1:8" ht="16.5" customHeight="1" thickBot="1">
      <c r="A7" s="548"/>
      <c r="B7" s="550"/>
      <c r="C7" s="552"/>
      <c r="D7" s="550"/>
      <c r="E7" s="331" t="s">
        <v>348</v>
      </c>
      <c r="F7" s="332" t="s">
        <v>348</v>
      </c>
      <c r="H7" s="333"/>
    </row>
    <row r="8" spans="1:8" ht="12.75" customHeight="1" thickTop="1">
      <c r="A8" s="334"/>
      <c r="B8" s="335"/>
      <c r="C8" s="336"/>
      <c r="D8" s="337"/>
      <c r="E8" s="338"/>
      <c r="F8" s="339"/>
      <c r="H8" s="333"/>
    </row>
    <row r="9" spans="1:8" ht="12.75" customHeight="1">
      <c r="A9" s="340">
        <v>1</v>
      </c>
      <c r="B9" s="450" t="s">
        <v>443</v>
      </c>
      <c r="C9" s="341" t="s">
        <v>37</v>
      </c>
      <c r="D9" s="342"/>
      <c r="E9" s="343"/>
      <c r="F9" s="344"/>
      <c r="H9" s="333"/>
    </row>
    <row r="10" spans="1:8" ht="12.75" customHeight="1">
      <c r="A10" s="340"/>
      <c r="B10" s="345" t="s">
        <v>444</v>
      </c>
      <c r="C10" s="341" t="s">
        <v>37</v>
      </c>
      <c r="D10" s="346">
        <v>1</v>
      </c>
      <c r="E10" s="343">
        <f>Analisa!F42</f>
        <v>960450</v>
      </c>
      <c r="F10" s="347">
        <f>D10*E10</f>
        <v>960450</v>
      </c>
    </row>
    <row r="11" spans="1:8" ht="12.75" customHeight="1">
      <c r="A11" s="340"/>
      <c r="B11" s="345" t="s">
        <v>445</v>
      </c>
      <c r="C11" s="341" t="s">
        <v>289</v>
      </c>
      <c r="D11" s="342">
        <f>1/0.045*4*0.617*1.15</f>
        <v>63.071111111111101</v>
      </c>
      <c r="E11" s="343">
        <f>Analisa!F83</f>
        <v>12669.369369369369</v>
      </c>
      <c r="F11" s="347">
        <f>D11*E11</f>
        <v>799071.20320320304</v>
      </c>
    </row>
    <row r="12" spans="1:8" ht="12.75" customHeight="1">
      <c r="A12" s="340"/>
      <c r="B12" s="345" t="s">
        <v>446</v>
      </c>
      <c r="C12" s="341" t="s">
        <v>289</v>
      </c>
      <c r="D12" s="342">
        <f>1/0.045*0.8*5.5*0.395*1.1</f>
        <v>42.484444444444456</v>
      </c>
      <c r="E12" s="343">
        <f>Analisa!F73</f>
        <v>12038.738738738737</v>
      </c>
      <c r="F12" s="347">
        <f>D12*E12</f>
        <v>511459.1271271272</v>
      </c>
    </row>
    <row r="13" spans="1:8" ht="12.75" customHeight="1" thickBot="1">
      <c r="A13" s="340"/>
      <c r="B13" s="345" t="s">
        <v>447</v>
      </c>
      <c r="C13" s="341" t="s">
        <v>40</v>
      </c>
      <c r="D13" s="342">
        <f>1/0.045*0.6</f>
        <v>13.333333333333332</v>
      </c>
      <c r="E13" s="343">
        <f>Analisa!F55</f>
        <v>77896.969696969696</v>
      </c>
      <c r="F13" s="348">
        <f>D13*E13</f>
        <v>1038626.2626262625</v>
      </c>
    </row>
    <row r="14" spans="1:8" ht="12.75" customHeight="1">
      <c r="A14" s="340"/>
      <c r="B14" s="451" t="s">
        <v>448</v>
      </c>
      <c r="C14" s="341"/>
      <c r="D14" s="349"/>
      <c r="E14" s="343"/>
      <c r="F14" s="350">
        <f>SUM(F10:F13)</f>
        <v>3309606.5929565928</v>
      </c>
    </row>
    <row r="15" spans="1:8" ht="12.75" customHeight="1">
      <c r="A15" s="340">
        <v>2</v>
      </c>
      <c r="B15" s="450" t="s">
        <v>449</v>
      </c>
      <c r="C15" s="341" t="s">
        <v>37</v>
      </c>
      <c r="D15" s="342"/>
      <c r="E15" s="343"/>
      <c r="F15" s="344"/>
    </row>
    <row r="16" spans="1:8" ht="12.75" customHeight="1">
      <c r="A16" s="340"/>
      <c r="B16" s="345" t="s">
        <v>444</v>
      </c>
      <c r="C16" s="341" t="s">
        <v>37</v>
      </c>
      <c r="D16" s="346">
        <v>1</v>
      </c>
      <c r="E16" s="343">
        <f>E10</f>
        <v>960450</v>
      </c>
      <c r="F16" s="347">
        <f>D16*E16</f>
        <v>960450</v>
      </c>
    </row>
    <row r="17" spans="1:9" ht="12.75" customHeight="1">
      <c r="A17" s="340"/>
      <c r="B17" s="345" t="s">
        <v>450</v>
      </c>
      <c r="C17" s="341" t="s">
        <v>289</v>
      </c>
      <c r="D17" s="342">
        <f>1/0.045*4*1.04*1.15</f>
        <v>106.3111111111111</v>
      </c>
      <c r="E17" s="343">
        <f t="shared" ref="E17:E19" si="0">E11</f>
        <v>12669.369369369369</v>
      </c>
      <c r="F17" s="347">
        <f>D17*E17</f>
        <v>1346894.7347347348</v>
      </c>
    </row>
    <row r="18" spans="1:9" ht="12.75" customHeight="1">
      <c r="A18" s="340"/>
      <c r="B18" s="345" t="s">
        <v>446</v>
      </c>
      <c r="C18" s="341" t="s">
        <v>289</v>
      </c>
      <c r="D18" s="342">
        <f>1/0.045*0.8*5.5*0.395*1.1</f>
        <v>42.484444444444456</v>
      </c>
      <c r="E18" s="343">
        <f t="shared" si="0"/>
        <v>12038.738738738737</v>
      </c>
      <c r="F18" s="347">
        <f>D18*E18</f>
        <v>511459.1271271272</v>
      </c>
    </row>
    <row r="19" spans="1:9" ht="12.75" customHeight="1" thickBot="1">
      <c r="A19" s="340"/>
      <c r="B19" s="345" t="s">
        <v>447</v>
      </c>
      <c r="C19" s="341" t="s">
        <v>40</v>
      </c>
      <c r="D19" s="342">
        <f>1/0.045*0.6</f>
        <v>13.333333333333332</v>
      </c>
      <c r="E19" s="343">
        <f t="shared" si="0"/>
        <v>77896.969696969696</v>
      </c>
      <c r="F19" s="348">
        <f>D19*E19</f>
        <v>1038626.2626262625</v>
      </c>
    </row>
    <row r="20" spans="1:9" ht="12.75" customHeight="1">
      <c r="A20" s="340"/>
      <c r="B20" s="451" t="s">
        <v>448</v>
      </c>
      <c r="C20" s="341"/>
      <c r="D20" s="349"/>
      <c r="E20" s="343"/>
      <c r="F20" s="350">
        <f>SUM(F16:F19)</f>
        <v>3857430.1244881242</v>
      </c>
    </row>
    <row r="21" spans="1:9" ht="12.75" customHeight="1">
      <c r="A21" s="340">
        <v>3</v>
      </c>
      <c r="B21" s="450" t="s">
        <v>451</v>
      </c>
      <c r="C21" s="341" t="s">
        <v>37</v>
      </c>
      <c r="D21" s="342"/>
      <c r="E21" s="343"/>
      <c r="F21" s="344"/>
    </row>
    <row r="22" spans="1:9" ht="12.75" customHeight="1">
      <c r="A22" s="340"/>
      <c r="B22" s="345" t="s">
        <v>444</v>
      </c>
      <c r="C22" s="341" t="s">
        <v>37</v>
      </c>
      <c r="D22" s="346">
        <v>1</v>
      </c>
      <c r="E22" s="343">
        <f>E16</f>
        <v>960450</v>
      </c>
      <c r="F22" s="347">
        <f>D22*E22</f>
        <v>960450</v>
      </c>
      <c r="H22" s="351"/>
    </row>
    <row r="23" spans="1:9" ht="12.75" customHeight="1">
      <c r="A23" s="340"/>
      <c r="B23" s="345" t="s">
        <v>450</v>
      </c>
      <c r="C23" s="341" t="s">
        <v>289</v>
      </c>
      <c r="D23" s="342">
        <f>1/0.1*5.5*1.04*1.15</f>
        <v>65.78</v>
      </c>
      <c r="E23" s="343">
        <f t="shared" ref="E23:E25" si="1">E17</f>
        <v>12669.369369369369</v>
      </c>
      <c r="F23" s="347">
        <f>D23*E23</f>
        <v>833391.11711711716</v>
      </c>
    </row>
    <row r="24" spans="1:9" ht="12.75" customHeight="1">
      <c r="A24" s="340"/>
      <c r="B24" s="345" t="s">
        <v>446</v>
      </c>
      <c r="C24" s="341" t="s">
        <v>289</v>
      </c>
      <c r="D24" s="342">
        <f>1/0.1*1.2*6*0.395*1.1</f>
        <v>31.284000000000002</v>
      </c>
      <c r="E24" s="343">
        <f t="shared" si="1"/>
        <v>12038.738738738737</v>
      </c>
      <c r="F24" s="347">
        <f>D24*E24</f>
        <v>376619.90270270268</v>
      </c>
    </row>
    <row r="25" spans="1:9" ht="12.75" customHeight="1" thickBot="1">
      <c r="A25" s="340"/>
      <c r="B25" s="345" t="s">
        <v>447</v>
      </c>
      <c r="C25" s="341" t="s">
        <v>40</v>
      </c>
      <c r="D25" s="342">
        <f>1/0.1*0.8</f>
        <v>8</v>
      </c>
      <c r="E25" s="343">
        <f t="shared" si="1"/>
        <v>77896.969696969696</v>
      </c>
      <c r="F25" s="348">
        <f>D25*E25</f>
        <v>623175.75757575757</v>
      </c>
    </row>
    <row r="26" spans="1:9" ht="12.75" customHeight="1">
      <c r="A26" s="340"/>
      <c r="B26" s="451" t="s">
        <v>448</v>
      </c>
      <c r="C26" s="341"/>
      <c r="D26" s="349"/>
      <c r="E26" s="343"/>
      <c r="F26" s="350">
        <f>SUM(F22:F25)</f>
        <v>2793636.7773955772</v>
      </c>
    </row>
    <row r="27" spans="1:9" ht="12.75" customHeight="1">
      <c r="A27" s="340">
        <v>4</v>
      </c>
      <c r="B27" s="450" t="s">
        <v>452</v>
      </c>
      <c r="C27" s="341" t="s">
        <v>37</v>
      </c>
      <c r="D27" s="349"/>
      <c r="E27" s="343"/>
      <c r="F27" s="347"/>
      <c r="I27" s="294"/>
    </row>
    <row r="28" spans="1:9" ht="12.75" customHeight="1">
      <c r="A28" s="340"/>
      <c r="B28" s="345" t="s">
        <v>444</v>
      </c>
      <c r="C28" s="341" t="s">
        <v>37</v>
      </c>
      <c r="D28" s="342">
        <v>1</v>
      </c>
      <c r="E28" s="343">
        <f>E10</f>
        <v>960450</v>
      </c>
      <c r="F28" s="347">
        <f>D28*E28</f>
        <v>960450</v>
      </c>
      <c r="I28" s="294"/>
    </row>
    <row r="29" spans="1:9" ht="12.75" customHeight="1">
      <c r="A29" s="340"/>
      <c r="B29" s="345" t="s">
        <v>445</v>
      </c>
      <c r="C29" s="341" t="s">
        <v>289</v>
      </c>
      <c r="D29" s="342">
        <f>1/0.06*4*0.617*1.15</f>
        <v>47.303333333333327</v>
      </c>
      <c r="E29" s="343">
        <f>E11</f>
        <v>12669.369369369369</v>
      </c>
      <c r="F29" s="347">
        <f>D29*E29</f>
        <v>599303.40240240237</v>
      </c>
      <c r="I29" s="294"/>
    </row>
    <row r="30" spans="1:9" ht="12.75" customHeight="1">
      <c r="A30" s="340"/>
      <c r="B30" s="345" t="s">
        <v>446</v>
      </c>
      <c r="C30" s="341" t="s">
        <v>289</v>
      </c>
      <c r="D30" s="342">
        <f>1/0.06*1*5.5*0.395*1.1</f>
        <v>39.829166666666673</v>
      </c>
      <c r="E30" s="343">
        <f>E12</f>
        <v>12038.738738738737</v>
      </c>
      <c r="F30" s="347">
        <f>D30*E30</f>
        <v>479492.93168168172</v>
      </c>
      <c r="I30" s="294"/>
    </row>
    <row r="31" spans="1:9" ht="12.75" customHeight="1" thickBot="1">
      <c r="A31" s="340"/>
      <c r="B31" s="345" t="s">
        <v>447</v>
      </c>
      <c r="C31" s="341" t="s">
        <v>40</v>
      </c>
      <c r="D31" s="342">
        <f>1/0.06*0.8</f>
        <v>13.333333333333336</v>
      </c>
      <c r="E31" s="343">
        <f>E13</f>
        <v>77896.969696969696</v>
      </c>
      <c r="F31" s="348">
        <f>D31*E31</f>
        <v>1038626.2626262628</v>
      </c>
    </row>
    <row r="32" spans="1:9" ht="12.75" customHeight="1">
      <c r="A32" s="340"/>
      <c r="B32" s="451" t="s">
        <v>448</v>
      </c>
      <c r="C32" s="352"/>
      <c r="D32" s="353"/>
      <c r="E32" s="343"/>
      <c r="F32" s="350">
        <f>SUM(F28:F31)</f>
        <v>3077872.5967103466</v>
      </c>
    </row>
    <row r="33" spans="1:6" ht="12.75" customHeight="1">
      <c r="A33" s="340">
        <v>5</v>
      </c>
      <c r="B33" s="450" t="s">
        <v>453</v>
      </c>
      <c r="C33" s="341"/>
      <c r="D33" s="342"/>
      <c r="E33" s="343"/>
      <c r="F33" s="354"/>
    </row>
    <row r="34" spans="1:6" ht="12.75" customHeight="1">
      <c r="A34" s="340"/>
      <c r="B34" s="345" t="s">
        <v>444</v>
      </c>
      <c r="C34" s="341" t="s">
        <v>37</v>
      </c>
      <c r="D34" s="342">
        <v>1</v>
      </c>
      <c r="E34" s="343">
        <f>E28</f>
        <v>960450</v>
      </c>
      <c r="F34" s="354">
        <f>D34*E34</f>
        <v>960450</v>
      </c>
    </row>
    <row r="35" spans="1:6" ht="12.75" customHeight="1">
      <c r="A35" s="340"/>
      <c r="B35" s="345" t="s">
        <v>450</v>
      </c>
      <c r="C35" s="341" t="s">
        <v>289</v>
      </c>
      <c r="D35" s="342">
        <f>1/0.06*4*1.04*1.15</f>
        <v>79.733333333333334</v>
      </c>
      <c r="E35" s="343">
        <f t="shared" ref="E35:E37" si="2">E29</f>
        <v>12669.369369369369</v>
      </c>
      <c r="F35" s="354">
        <f>D35*E35</f>
        <v>1010171.0510510511</v>
      </c>
    </row>
    <row r="36" spans="1:6" ht="12.75" customHeight="1">
      <c r="A36" s="340"/>
      <c r="B36" s="345" t="s">
        <v>446</v>
      </c>
      <c r="C36" s="341" t="s">
        <v>289</v>
      </c>
      <c r="D36" s="342">
        <f>1/0.06*1*5.5*0.395*1.1</f>
        <v>39.829166666666673</v>
      </c>
      <c r="E36" s="343">
        <f t="shared" si="2"/>
        <v>12038.738738738737</v>
      </c>
      <c r="F36" s="354">
        <f>D36*E36</f>
        <v>479492.93168168172</v>
      </c>
    </row>
    <row r="37" spans="1:6" ht="12.75" customHeight="1" thickBot="1">
      <c r="A37" s="340"/>
      <c r="B37" s="345" t="s">
        <v>447</v>
      </c>
      <c r="C37" s="341" t="s">
        <v>40</v>
      </c>
      <c r="D37" s="342">
        <f>1/0.06*0.8</f>
        <v>13.333333333333336</v>
      </c>
      <c r="E37" s="343">
        <f t="shared" si="2"/>
        <v>77896.969696969696</v>
      </c>
      <c r="F37" s="355">
        <f>D37*E37</f>
        <v>1038626.2626262628</v>
      </c>
    </row>
    <row r="38" spans="1:6" ht="12.75" customHeight="1">
      <c r="A38" s="340"/>
      <c r="B38" s="451" t="s">
        <v>448</v>
      </c>
      <c r="C38" s="341"/>
      <c r="D38" s="342"/>
      <c r="E38" s="343"/>
      <c r="F38" s="350">
        <f>SUM(F34:F37)</f>
        <v>3488740.2453589956</v>
      </c>
    </row>
    <row r="39" spans="1:6" ht="12.75" customHeight="1">
      <c r="A39" s="340">
        <v>6</v>
      </c>
      <c r="B39" s="450" t="s">
        <v>454</v>
      </c>
      <c r="C39" s="341"/>
      <c r="D39" s="342"/>
      <c r="E39" s="343"/>
      <c r="F39" s="354"/>
    </row>
    <row r="40" spans="1:6" ht="12.75" customHeight="1">
      <c r="A40" s="340"/>
      <c r="B40" s="345" t="s">
        <v>444</v>
      </c>
      <c r="C40" s="341" t="s">
        <v>37</v>
      </c>
      <c r="D40" s="342">
        <v>1</v>
      </c>
      <c r="E40" s="343">
        <f>E34</f>
        <v>960450</v>
      </c>
      <c r="F40" s="354">
        <f>D40*E40</f>
        <v>960450</v>
      </c>
    </row>
    <row r="41" spans="1:6" ht="12.75" customHeight="1">
      <c r="A41" s="340"/>
      <c r="B41" s="345" t="s">
        <v>450</v>
      </c>
      <c r="C41" s="341" t="s">
        <v>289</v>
      </c>
      <c r="D41" s="342">
        <f>1/0.06*4.75*1.04*1.15</f>
        <v>94.683333333333337</v>
      </c>
      <c r="E41" s="343">
        <f t="shared" ref="E41:E43" si="3">E35</f>
        <v>12669.369369369369</v>
      </c>
      <c r="F41" s="354">
        <f>D41*E41</f>
        <v>1199578.1231231231</v>
      </c>
    </row>
    <row r="42" spans="1:6" ht="12.75" customHeight="1">
      <c r="A42" s="340"/>
      <c r="B42" s="345" t="s">
        <v>446</v>
      </c>
      <c r="C42" s="341" t="s">
        <v>289</v>
      </c>
      <c r="D42" s="342">
        <f>1/0.06*1*5.5*0.395*1.1</f>
        <v>39.829166666666673</v>
      </c>
      <c r="E42" s="343">
        <f t="shared" si="3"/>
        <v>12038.738738738737</v>
      </c>
      <c r="F42" s="354">
        <f>D42*E42</f>
        <v>479492.93168168172</v>
      </c>
    </row>
    <row r="43" spans="1:6" ht="12.75" customHeight="1" thickBot="1">
      <c r="A43" s="340"/>
      <c r="B43" s="345" t="s">
        <v>447</v>
      </c>
      <c r="C43" s="341" t="s">
        <v>40</v>
      </c>
      <c r="D43" s="342">
        <f>1/0.06*0.8</f>
        <v>13.333333333333336</v>
      </c>
      <c r="E43" s="343">
        <f t="shared" si="3"/>
        <v>77896.969696969696</v>
      </c>
      <c r="F43" s="355">
        <f>D43*E43</f>
        <v>1038626.2626262628</v>
      </c>
    </row>
    <row r="44" spans="1:6" ht="12.75" customHeight="1">
      <c r="A44" s="340"/>
      <c r="B44" s="451" t="s">
        <v>448</v>
      </c>
      <c r="C44" s="341"/>
      <c r="D44" s="342"/>
      <c r="E44" s="343"/>
      <c r="F44" s="350">
        <f>SUM(F40:F43)</f>
        <v>3678147.317431068</v>
      </c>
    </row>
    <row r="45" spans="1:6" ht="12.75" customHeight="1">
      <c r="A45" s="340">
        <v>7</v>
      </c>
      <c r="B45" s="450" t="s">
        <v>455</v>
      </c>
      <c r="C45" s="341"/>
      <c r="D45" s="342"/>
      <c r="E45" s="343"/>
      <c r="F45" s="354"/>
    </row>
    <row r="46" spans="1:6" ht="12.75" customHeight="1">
      <c r="A46" s="340"/>
      <c r="B46" s="345" t="s">
        <v>444</v>
      </c>
      <c r="C46" s="341" t="s">
        <v>37</v>
      </c>
      <c r="D46" s="342">
        <v>1</v>
      </c>
      <c r="E46" s="343">
        <f>E40</f>
        <v>960450</v>
      </c>
      <c r="F46" s="354">
        <f>D46*E46</f>
        <v>960450</v>
      </c>
    </row>
    <row r="47" spans="1:6" ht="12.75" customHeight="1">
      <c r="A47" s="340"/>
      <c r="B47" s="345" t="s">
        <v>450</v>
      </c>
      <c r="C47" s="341" t="s">
        <v>289</v>
      </c>
      <c r="D47" s="342">
        <f>1/0.06*7.5*1.04*1.15</f>
        <v>149.50000000000003</v>
      </c>
      <c r="E47" s="343">
        <f t="shared" ref="E47:E49" si="4">E41</f>
        <v>12669.369369369369</v>
      </c>
      <c r="F47" s="354">
        <f>D47*E47</f>
        <v>1894070.7207207212</v>
      </c>
    </row>
    <row r="48" spans="1:6" ht="12.75" customHeight="1">
      <c r="A48" s="340"/>
      <c r="B48" s="345" t="s">
        <v>446</v>
      </c>
      <c r="C48" s="341" t="s">
        <v>289</v>
      </c>
      <c r="D48" s="342">
        <f>1/0.06*1*11*0.395*1.1</f>
        <v>79.658333333333346</v>
      </c>
      <c r="E48" s="343">
        <f t="shared" si="4"/>
        <v>12038.738738738737</v>
      </c>
      <c r="F48" s="354">
        <f>D48*E48</f>
        <v>958985.86336336343</v>
      </c>
    </row>
    <row r="49" spans="1:6" ht="12.75" customHeight="1" thickBot="1">
      <c r="A49" s="340"/>
      <c r="B49" s="345" t="s">
        <v>447</v>
      </c>
      <c r="C49" s="341" t="s">
        <v>40</v>
      </c>
      <c r="D49" s="342">
        <f>1/0.06*0.8</f>
        <v>13.333333333333336</v>
      </c>
      <c r="E49" s="343">
        <f t="shared" si="4"/>
        <v>77896.969696969696</v>
      </c>
      <c r="F49" s="355">
        <f>D49*E49</f>
        <v>1038626.2626262628</v>
      </c>
    </row>
    <row r="50" spans="1:6" ht="12.75" customHeight="1">
      <c r="A50" s="340"/>
      <c r="B50" s="451" t="s">
        <v>448</v>
      </c>
      <c r="C50" s="341"/>
      <c r="D50" s="342"/>
      <c r="E50" s="343"/>
      <c r="F50" s="350">
        <f>SUM(F46:F49)</f>
        <v>4852132.8467103476</v>
      </c>
    </row>
    <row r="51" spans="1:6" ht="12.75" customHeight="1">
      <c r="A51" s="340">
        <v>8</v>
      </c>
      <c r="B51" s="450" t="s">
        <v>603</v>
      </c>
      <c r="C51" s="341"/>
      <c r="D51" s="342"/>
      <c r="E51" s="343"/>
      <c r="F51" s="354"/>
    </row>
    <row r="52" spans="1:6" ht="12.75" customHeight="1">
      <c r="A52" s="340"/>
      <c r="B52" s="345" t="s">
        <v>444</v>
      </c>
      <c r="C52" s="341" t="s">
        <v>37</v>
      </c>
      <c r="D52" s="342">
        <v>1</v>
      </c>
      <c r="E52" s="343">
        <f>Analisa!F31</f>
        <v>1232750</v>
      </c>
      <c r="F52" s="354">
        <f>D52*E52</f>
        <v>1232750</v>
      </c>
    </row>
    <row r="53" spans="1:6" ht="12.75" customHeight="1">
      <c r="A53" s="340"/>
      <c r="B53" s="345" t="s">
        <v>450</v>
      </c>
      <c r="C53" s="341" t="s">
        <v>289</v>
      </c>
      <c r="D53" s="342">
        <f>1/0.06*7.5*1.04*1.15</f>
        <v>149.50000000000003</v>
      </c>
      <c r="E53" s="343">
        <f t="shared" ref="E53:E54" si="5">E47</f>
        <v>12669.369369369369</v>
      </c>
      <c r="F53" s="354">
        <f>D53*E53</f>
        <v>1894070.7207207212</v>
      </c>
    </row>
    <row r="54" spans="1:6" ht="12.75" customHeight="1">
      <c r="A54" s="340"/>
      <c r="B54" s="345" t="s">
        <v>446</v>
      </c>
      <c r="C54" s="341" t="s">
        <v>289</v>
      </c>
      <c r="D54" s="342">
        <f>1/0.06*1*11*0.395*1.1</f>
        <v>79.658333333333346</v>
      </c>
      <c r="E54" s="343">
        <f t="shared" si="5"/>
        <v>12038.738738738737</v>
      </c>
      <c r="F54" s="354">
        <f>D54*E54</f>
        <v>958985.86336336343</v>
      </c>
    </row>
    <row r="55" spans="1:6" ht="12.75" customHeight="1" thickBot="1">
      <c r="A55" s="340"/>
      <c r="B55" s="345" t="s">
        <v>522</v>
      </c>
      <c r="C55" s="341" t="s">
        <v>40</v>
      </c>
      <c r="D55" s="342">
        <f>1/0.06*0.8</f>
        <v>13.333333333333336</v>
      </c>
      <c r="E55" s="449">
        <f>Analisa!F110</f>
        <v>79116.75</v>
      </c>
      <c r="F55" s="355">
        <f>D55*E55</f>
        <v>1054890.0000000002</v>
      </c>
    </row>
    <row r="56" spans="1:6" ht="12.75" customHeight="1">
      <c r="A56" s="340"/>
      <c r="B56" s="451" t="s">
        <v>448</v>
      </c>
      <c r="C56" s="341"/>
      <c r="D56" s="342"/>
      <c r="E56" s="343"/>
      <c r="F56" s="350">
        <f>SUM(F52:F55)</f>
        <v>5140696.5840840852</v>
      </c>
    </row>
    <row r="57" spans="1:6" ht="12.75" customHeight="1">
      <c r="A57" s="340">
        <v>9</v>
      </c>
      <c r="B57" s="450" t="s">
        <v>456</v>
      </c>
      <c r="C57" s="341"/>
      <c r="D57" s="342"/>
      <c r="E57" s="343"/>
      <c r="F57" s="354"/>
    </row>
    <row r="58" spans="1:6" ht="12.75" customHeight="1">
      <c r="A58" s="340"/>
      <c r="B58" s="345" t="s">
        <v>444</v>
      </c>
      <c r="C58" s="341" t="s">
        <v>37</v>
      </c>
      <c r="D58" s="342">
        <v>1</v>
      </c>
      <c r="E58" s="343">
        <f>E46</f>
        <v>960450</v>
      </c>
      <c r="F58" s="354">
        <f>D58*E58</f>
        <v>960450</v>
      </c>
    </row>
    <row r="59" spans="1:6" ht="12.75" customHeight="1">
      <c r="A59" s="340"/>
      <c r="B59" s="345" t="s">
        <v>450</v>
      </c>
      <c r="C59" s="341" t="s">
        <v>289</v>
      </c>
      <c r="D59" s="342">
        <f>1/0.08*4*1.04*1.15</f>
        <v>59.8</v>
      </c>
      <c r="E59" s="343">
        <f>E47</f>
        <v>12669.369369369369</v>
      </c>
      <c r="F59" s="354">
        <f>D59*E59</f>
        <v>757628.28828828828</v>
      </c>
    </row>
    <row r="60" spans="1:6" ht="12.75" customHeight="1">
      <c r="A60" s="340"/>
      <c r="B60" s="345" t="s">
        <v>446</v>
      </c>
      <c r="C60" s="341" t="s">
        <v>289</v>
      </c>
      <c r="D60" s="342">
        <f>1/0.08*1.1*5.5*0.395*1.1</f>
        <v>32.859062500000007</v>
      </c>
      <c r="E60" s="343">
        <f>E48</f>
        <v>12038.738738738737</v>
      </c>
      <c r="F60" s="354">
        <f>D60*E60</f>
        <v>395581.6686373874</v>
      </c>
    </row>
    <row r="61" spans="1:6" ht="12.75" customHeight="1" thickBot="1">
      <c r="A61" s="340"/>
      <c r="B61" s="345" t="s">
        <v>447</v>
      </c>
      <c r="C61" s="341" t="s">
        <v>40</v>
      </c>
      <c r="D61" s="342">
        <f>1/0.08*0.8</f>
        <v>10</v>
      </c>
      <c r="E61" s="343">
        <f>E49</f>
        <v>77896.969696969696</v>
      </c>
      <c r="F61" s="355">
        <f>D61*E61</f>
        <v>778969.69696969702</v>
      </c>
    </row>
    <row r="62" spans="1:6" ht="12.75" customHeight="1">
      <c r="A62" s="340"/>
      <c r="B62" s="451" t="s">
        <v>448</v>
      </c>
      <c r="C62" s="341"/>
      <c r="D62" s="342"/>
      <c r="E62" s="343"/>
      <c r="F62" s="350">
        <f>SUM(F58:F61)</f>
        <v>2892629.6538953725</v>
      </c>
    </row>
    <row r="63" spans="1:6" ht="12.75" customHeight="1">
      <c r="A63" s="340">
        <v>10</v>
      </c>
      <c r="B63" s="450" t="s">
        <v>457</v>
      </c>
      <c r="C63" s="341"/>
      <c r="D63" s="342"/>
      <c r="E63" s="343"/>
      <c r="F63" s="354"/>
    </row>
    <row r="64" spans="1:6" ht="12.75" customHeight="1">
      <c r="A64" s="340"/>
      <c r="B64" s="345" t="s">
        <v>444</v>
      </c>
      <c r="C64" s="341" t="s">
        <v>37</v>
      </c>
      <c r="D64" s="342">
        <v>1</v>
      </c>
      <c r="E64" s="343">
        <f>E58</f>
        <v>960450</v>
      </c>
      <c r="F64" s="354">
        <f>D64*E64</f>
        <v>960450</v>
      </c>
    </row>
    <row r="65" spans="1:6" ht="12.75" customHeight="1">
      <c r="A65" s="340"/>
      <c r="B65" s="345" t="s">
        <v>450</v>
      </c>
      <c r="C65" s="341" t="s">
        <v>289</v>
      </c>
      <c r="D65" s="342">
        <f>1/0.08*4.75*1.04*1.15</f>
        <v>71.012499999999989</v>
      </c>
      <c r="E65" s="343">
        <f t="shared" ref="E65:E67" si="6">E59</f>
        <v>12669.369369369369</v>
      </c>
      <c r="F65" s="354">
        <f>D65*E65</f>
        <v>899683.59234234225</v>
      </c>
    </row>
    <row r="66" spans="1:6" ht="12.75" customHeight="1">
      <c r="A66" s="340"/>
      <c r="B66" s="345" t="s">
        <v>446</v>
      </c>
      <c r="C66" s="341" t="s">
        <v>289</v>
      </c>
      <c r="D66" s="342">
        <f>1/0.08*1.1*5.5*0.395*1.1</f>
        <v>32.859062500000007</v>
      </c>
      <c r="E66" s="343">
        <f t="shared" si="6"/>
        <v>12038.738738738737</v>
      </c>
      <c r="F66" s="354">
        <f>D66*E66</f>
        <v>395581.6686373874</v>
      </c>
    </row>
    <row r="67" spans="1:6" ht="12.75" customHeight="1" thickBot="1">
      <c r="A67" s="340"/>
      <c r="B67" s="345" t="s">
        <v>447</v>
      </c>
      <c r="C67" s="341" t="s">
        <v>40</v>
      </c>
      <c r="D67" s="342">
        <f>1/0.08*0.8</f>
        <v>10</v>
      </c>
      <c r="E67" s="343">
        <f t="shared" si="6"/>
        <v>77896.969696969696</v>
      </c>
      <c r="F67" s="355">
        <f>D67*E67</f>
        <v>778969.69696969702</v>
      </c>
    </row>
    <row r="68" spans="1:6" ht="12.75" customHeight="1">
      <c r="A68" s="340"/>
      <c r="B68" s="451" t="s">
        <v>448</v>
      </c>
      <c r="C68" s="341"/>
      <c r="D68" s="342"/>
      <c r="E68" s="343"/>
      <c r="F68" s="350">
        <f>SUM(F64:F67)</f>
        <v>3034684.957949427</v>
      </c>
    </row>
    <row r="69" spans="1:6" ht="12.75" customHeight="1">
      <c r="A69" s="340">
        <v>11</v>
      </c>
      <c r="B69" s="450" t="s">
        <v>458</v>
      </c>
      <c r="C69" s="341"/>
      <c r="D69" s="342"/>
      <c r="E69" s="343"/>
      <c r="F69" s="354"/>
    </row>
    <row r="70" spans="1:6" ht="12.75" customHeight="1">
      <c r="A70" s="340"/>
      <c r="B70" s="345" t="s">
        <v>444</v>
      </c>
      <c r="C70" s="341" t="s">
        <v>37</v>
      </c>
      <c r="D70" s="342">
        <v>1</v>
      </c>
      <c r="E70" s="343">
        <f>E64</f>
        <v>960450</v>
      </c>
      <c r="F70" s="354">
        <f>D70*E70</f>
        <v>960450</v>
      </c>
    </row>
    <row r="71" spans="1:6" ht="12.75" customHeight="1">
      <c r="A71" s="340"/>
      <c r="B71" s="345" t="s">
        <v>450</v>
      </c>
      <c r="C71" s="341" t="s">
        <v>289</v>
      </c>
      <c r="D71" s="342">
        <f>1/0.08*4.75*1.04*1.15</f>
        <v>71.012499999999989</v>
      </c>
      <c r="E71" s="343">
        <f t="shared" ref="E71:E73" si="7">E65</f>
        <v>12669.369369369369</v>
      </c>
      <c r="F71" s="354">
        <f>D71*E71</f>
        <v>899683.59234234225</v>
      </c>
    </row>
    <row r="72" spans="1:6" ht="12.75" customHeight="1">
      <c r="A72" s="340"/>
      <c r="B72" s="345" t="s">
        <v>446</v>
      </c>
      <c r="C72" s="341" t="s">
        <v>289</v>
      </c>
      <c r="D72" s="342">
        <f>1/0.08*1.1*6*0.395*1.1</f>
        <v>35.846250000000012</v>
      </c>
      <c r="E72" s="343">
        <f t="shared" si="7"/>
        <v>12038.738738738737</v>
      </c>
      <c r="F72" s="354">
        <f>D72*E72</f>
        <v>431543.63851351361</v>
      </c>
    </row>
    <row r="73" spans="1:6" ht="12.75" customHeight="1" thickBot="1">
      <c r="A73" s="340"/>
      <c r="B73" s="345" t="s">
        <v>447</v>
      </c>
      <c r="C73" s="341" t="s">
        <v>40</v>
      </c>
      <c r="D73" s="342">
        <f>1/0.08*0.8</f>
        <v>10</v>
      </c>
      <c r="E73" s="343">
        <f t="shared" si="7"/>
        <v>77896.969696969696</v>
      </c>
      <c r="F73" s="355">
        <f>D73*E73</f>
        <v>778969.69696969702</v>
      </c>
    </row>
    <row r="74" spans="1:6" ht="12.75" customHeight="1">
      <c r="A74" s="340"/>
      <c r="B74" s="451" t="s">
        <v>448</v>
      </c>
      <c r="C74" s="341"/>
      <c r="D74" s="342"/>
      <c r="E74" s="343"/>
      <c r="F74" s="350">
        <f>SUM(F70:F73)</f>
        <v>3070646.9278255533</v>
      </c>
    </row>
    <row r="75" spans="1:6" ht="12.75" customHeight="1">
      <c r="A75" s="340">
        <v>12</v>
      </c>
      <c r="B75" s="450" t="s">
        <v>459</v>
      </c>
      <c r="C75" s="341"/>
      <c r="D75" s="342"/>
      <c r="E75" s="343"/>
      <c r="F75" s="354"/>
    </row>
    <row r="76" spans="1:6" ht="12.75" customHeight="1">
      <c r="A76" s="340"/>
      <c r="B76" s="345" t="s">
        <v>444</v>
      </c>
      <c r="C76" s="341" t="s">
        <v>37</v>
      </c>
      <c r="D76" s="342">
        <v>1</v>
      </c>
      <c r="E76" s="343">
        <f>E70</f>
        <v>960450</v>
      </c>
      <c r="F76" s="354">
        <f>D76*E76</f>
        <v>960450</v>
      </c>
    </row>
    <row r="77" spans="1:6" ht="12.75" customHeight="1">
      <c r="A77" s="340"/>
      <c r="B77" s="345" t="s">
        <v>450</v>
      </c>
      <c r="C77" s="341" t="s">
        <v>289</v>
      </c>
      <c r="D77" s="342">
        <f>1/0.08*5.5*1.04*1.15</f>
        <v>82.224999999999994</v>
      </c>
      <c r="E77" s="343">
        <f t="shared" ref="E77:E79" si="8">E71</f>
        <v>12669.369369369369</v>
      </c>
      <c r="F77" s="354">
        <f>D77*E77</f>
        <v>1041738.8963963963</v>
      </c>
    </row>
    <row r="78" spans="1:6" ht="12.75" customHeight="1">
      <c r="A78" s="340"/>
      <c r="B78" s="345" t="s">
        <v>446</v>
      </c>
      <c r="C78" s="341" t="s">
        <v>289</v>
      </c>
      <c r="D78" s="342">
        <f>1/0.08*1.1*6*0.395*1.1</f>
        <v>35.846250000000012</v>
      </c>
      <c r="E78" s="343">
        <f>E72</f>
        <v>12038.738738738737</v>
      </c>
      <c r="F78" s="354">
        <f>D78*E78</f>
        <v>431543.63851351361</v>
      </c>
    </row>
    <row r="79" spans="1:6" ht="12.75" customHeight="1" thickBot="1">
      <c r="A79" s="340"/>
      <c r="B79" s="345" t="s">
        <v>447</v>
      </c>
      <c r="C79" s="341" t="s">
        <v>40</v>
      </c>
      <c r="D79" s="342">
        <f>1/0.08*0.8</f>
        <v>10</v>
      </c>
      <c r="E79" s="343">
        <f t="shared" si="8"/>
        <v>77896.969696969696</v>
      </c>
      <c r="F79" s="355">
        <f>D79*E79</f>
        <v>778969.69696969702</v>
      </c>
    </row>
    <row r="80" spans="1:6" ht="12.75" customHeight="1">
      <c r="A80" s="340"/>
      <c r="B80" s="451" t="s">
        <v>448</v>
      </c>
      <c r="C80" s="341"/>
      <c r="D80" s="342"/>
      <c r="E80" s="343"/>
      <c r="F80" s="350">
        <f>SUM(F76:F79)</f>
        <v>3212702.2318796068</v>
      </c>
    </row>
    <row r="81" spans="1:6" ht="12.75" customHeight="1">
      <c r="A81" s="340">
        <v>13</v>
      </c>
      <c r="B81" s="450" t="s">
        <v>460</v>
      </c>
      <c r="C81" s="341"/>
      <c r="D81" s="342"/>
      <c r="E81" s="343"/>
      <c r="F81" s="354"/>
    </row>
    <row r="82" spans="1:6" ht="12.75" customHeight="1">
      <c r="A82" s="340"/>
      <c r="B82" s="345" t="s">
        <v>444</v>
      </c>
      <c r="C82" s="341" t="s">
        <v>37</v>
      </c>
      <c r="D82" s="342">
        <v>1</v>
      </c>
      <c r="E82" s="343">
        <f>E76</f>
        <v>960450</v>
      </c>
      <c r="F82" s="354">
        <f>D82*E82</f>
        <v>960450</v>
      </c>
    </row>
    <row r="83" spans="1:6" ht="12.75" customHeight="1">
      <c r="A83" s="340"/>
      <c r="B83" s="345" t="s">
        <v>450</v>
      </c>
      <c r="C83" s="341" t="s">
        <v>289</v>
      </c>
      <c r="D83" s="342">
        <f>1/0.08*5*1.04*1.15</f>
        <v>74.75</v>
      </c>
      <c r="E83" s="343">
        <f t="shared" ref="E83:E85" si="9">E77</f>
        <v>12669.369369369369</v>
      </c>
      <c r="F83" s="354">
        <f>D83*E83</f>
        <v>947035.36036036036</v>
      </c>
    </row>
    <row r="84" spans="1:6" ht="12.75" customHeight="1">
      <c r="A84" s="340"/>
      <c r="B84" s="345" t="s">
        <v>446</v>
      </c>
      <c r="C84" s="341" t="s">
        <v>289</v>
      </c>
      <c r="D84" s="342">
        <f>1/0.08*1.1*5.5*0.395*1.1</f>
        <v>32.859062500000007</v>
      </c>
      <c r="E84" s="343">
        <f>E78</f>
        <v>12038.738738738737</v>
      </c>
      <c r="F84" s="354">
        <f>D84*E84</f>
        <v>395581.6686373874</v>
      </c>
    </row>
    <row r="85" spans="1:6" ht="12.75" customHeight="1" thickBot="1">
      <c r="A85" s="340"/>
      <c r="B85" s="345" t="s">
        <v>447</v>
      </c>
      <c r="C85" s="341" t="s">
        <v>40</v>
      </c>
      <c r="D85" s="342">
        <f>1/0.08*0.8</f>
        <v>10</v>
      </c>
      <c r="E85" s="343">
        <f t="shared" si="9"/>
        <v>77896.969696969696</v>
      </c>
      <c r="F85" s="355">
        <f>D85*E85</f>
        <v>778969.69696969702</v>
      </c>
    </row>
    <row r="86" spans="1:6" ht="12.75" customHeight="1">
      <c r="A86" s="340"/>
      <c r="B86" s="451" t="s">
        <v>448</v>
      </c>
      <c r="C86" s="341"/>
      <c r="D86" s="342"/>
      <c r="E86" s="343"/>
      <c r="F86" s="350">
        <f>SUM(F82:F85)</f>
        <v>3082036.7259674445</v>
      </c>
    </row>
    <row r="87" spans="1:6" ht="12.75" customHeight="1">
      <c r="A87" s="340">
        <v>14</v>
      </c>
      <c r="B87" s="450" t="s">
        <v>461</v>
      </c>
      <c r="C87" s="341"/>
      <c r="D87" s="342"/>
      <c r="E87" s="343"/>
      <c r="F87" s="354"/>
    </row>
    <row r="88" spans="1:6" ht="12.75" customHeight="1">
      <c r="A88" s="340"/>
      <c r="B88" s="345" t="s">
        <v>444</v>
      </c>
      <c r="C88" s="341" t="s">
        <v>37</v>
      </c>
      <c r="D88" s="342">
        <v>1</v>
      </c>
      <c r="E88" s="343">
        <f>E82</f>
        <v>960450</v>
      </c>
      <c r="F88" s="354">
        <f>D88*E88</f>
        <v>960450</v>
      </c>
    </row>
    <row r="89" spans="1:6" ht="12.75" customHeight="1">
      <c r="A89" s="340"/>
      <c r="B89" s="345" t="s">
        <v>450</v>
      </c>
      <c r="C89" s="341" t="s">
        <v>289</v>
      </c>
      <c r="D89" s="342">
        <f>1/0.08*5*1.04*1.15</f>
        <v>74.75</v>
      </c>
      <c r="E89" s="343">
        <f>E77</f>
        <v>12669.369369369369</v>
      </c>
      <c r="F89" s="354">
        <f>D89*E89</f>
        <v>947035.36036036036</v>
      </c>
    </row>
    <row r="90" spans="1:6" ht="12.75" customHeight="1">
      <c r="A90" s="340"/>
      <c r="B90" s="345" t="s">
        <v>446</v>
      </c>
      <c r="C90" s="341" t="s">
        <v>289</v>
      </c>
      <c r="D90" s="342">
        <f>1/0.08*1.1*6.5*0.395*1.1</f>
        <v>38.833437500000009</v>
      </c>
      <c r="E90" s="343">
        <f>E78</f>
        <v>12038.738738738737</v>
      </c>
      <c r="F90" s="354">
        <f>D90*E90</f>
        <v>467505.6083896397</v>
      </c>
    </row>
    <row r="91" spans="1:6" ht="12.75" customHeight="1" thickBot="1">
      <c r="A91" s="340"/>
      <c r="B91" s="345" t="s">
        <v>447</v>
      </c>
      <c r="C91" s="341" t="s">
        <v>40</v>
      </c>
      <c r="D91" s="342">
        <f>1/0.08*0.8</f>
        <v>10</v>
      </c>
      <c r="E91" s="343">
        <f>E79</f>
        <v>77896.969696969696</v>
      </c>
      <c r="F91" s="355">
        <f>D91*E91</f>
        <v>778969.69696969702</v>
      </c>
    </row>
    <row r="92" spans="1:6" ht="12.75" customHeight="1">
      <c r="A92" s="340"/>
      <c r="B92" s="451" t="s">
        <v>448</v>
      </c>
      <c r="C92" s="341"/>
      <c r="D92" s="342"/>
      <c r="E92" s="343"/>
      <c r="F92" s="350">
        <f>SUM(F88:F91)</f>
        <v>3153960.6657196973</v>
      </c>
    </row>
    <row r="93" spans="1:6" ht="12.75" customHeight="1">
      <c r="A93" s="340">
        <v>15</v>
      </c>
      <c r="B93" s="450" t="s">
        <v>604</v>
      </c>
      <c r="C93" s="341"/>
      <c r="D93" s="342"/>
      <c r="E93" s="343"/>
      <c r="F93" s="354"/>
    </row>
    <row r="94" spans="1:6" ht="12.75" customHeight="1">
      <c r="A94" s="340"/>
      <c r="B94" s="345" t="s">
        <v>444</v>
      </c>
      <c r="C94" s="341" t="s">
        <v>37</v>
      </c>
      <c r="D94" s="342">
        <v>1</v>
      </c>
      <c r="E94" s="343">
        <f>Analisa!F31</f>
        <v>1232750</v>
      </c>
      <c r="F94" s="354">
        <f>D94*E94</f>
        <v>1232750</v>
      </c>
    </row>
    <row r="95" spans="1:6" ht="12.75" customHeight="1">
      <c r="A95" s="340"/>
      <c r="B95" s="345" t="s">
        <v>450</v>
      </c>
      <c r="C95" s="341" t="s">
        <v>289</v>
      </c>
      <c r="D95" s="342">
        <f>1/0.08*5*1.04*1.15</f>
        <v>74.75</v>
      </c>
      <c r="E95" s="343">
        <f>E83</f>
        <v>12669.369369369369</v>
      </c>
      <c r="F95" s="354">
        <f>D95*E95</f>
        <v>947035.36036036036</v>
      </c>
    </row>
    <row r="96" spans="1:6" ht="12.75" customHeight="1">
      <c r="A96" s="340"/>
      <c r="B96" s="345" t="s">
        <v>446</v>
      </c>
      <c r="C96" s="341" t="s">
        <v>289</v>
      </c>
      <c r="D96" s="342">
        <f>1/0.08*1.1*6.5*0.395*1.1</f>
        <v>38.833437500000009</v>
      </c>
      <c r="E96" s="343">
        <f>E84</f>
        <v>12038.738738738737</v>
      </c>
      <c r="F96" s="354">
        <f>D96*E96</f>
        <v>467505.6083896397</v>
      </c>
    </row>
    <row r="97" spans="1:6" ht="12.75" customHeight="1" thickBot="1">
      <c r="A97" s="340"/>
      <c r="B97" s="345" t="s">
        <v>522</v>
      </c>
      <c r="C97" s="341" t="s">
        <v>40</v>
      </c>
      <c r="D97" s="342">
        <f>1/0.08*0.8</f>
        <v>10</v>
      </c>
      <c r="E97" s="449">
        <f>E55</f>
        <v>79116.75</v>
      </c>
      <c r="F97" s="355">
        <f>D97*E97</f>
        <v>791167.5</v>
      </c>
    </row>
    <row r="98" spans="1:6" ht="12.75" customHeight="1">
      <c r="A98" s="340"/>
      <c r="B98" s="451" t="s">
        <v>448</v>
      </c>
      <c r="C98" s="341"/>
      <c r="D98" s="342"/>
      <c r="E98" s="343"/>
      <c r="F98" s="350">
        <f>SUM(F94:F97)</f>
        <v>3438458.46875</v>
      </c>
    </row>
    <row r="99" spans="1:6" ht="12.75" customHeight="1">
      <c r="A99" s="340">
        <v>16</v>
      </c>
      <c r="B99" s="450" t="s">
        <v>462</v>
      </c>
      <c r="C99" s="341"/>
      <c r="D99" s="342"/>
      <c r="E99" s="343"/>
      <c r="F99" s="354"/>
    </row>
    <row r="100" spans="1:6" ht="12.75" customHeight="1">
      <c r="A100" s="340"/>
      <c r="B100" s="345" t="s">
        <v>444</v>
      </c>
      <c r="C100" s="341" t="s">
        <v>37</v>
      </c>
      <c r="D100" s="342">
        <v>1</v>
      </c>
      <c r="E100" s="343">
        <f>E82</f>
        <v>960450</v>
      </c>
      <c r="F100" s="354">
        <f>D100*E100</f>
        <v>960450</v>
      </c>
    </row>
    <row r="101" spans="1:6" ht="12.75" customHeight="1">
      <c r="A101" s="340"/>
      <c r="B101" s="345" t="s">
        <v>450</v>
      </c>
      <c r="C101" s="341" t="s">
        <v>289</v>
      </c>
      <c r="D101" s="342">
        <f>1/0.08*5.5*1.04*1.15</f>
        <v>82.224999999999994</v>
      </c>
      <c r="E101" s="343">
        <f t="shared" ref="E101" si="10">E95</f>
        <v>12669.369369369369</v>
      </c>
      <c r="F101" s="354">
        <f>D101*E101</f>
        <v>1041738.8963963963</v>
      </c>
    </row>
    <row r="102" spans="1:6" ht="12.75" customHeight="1">
      <c r="A102" s="340"/>
      <c r="B102" s="345" t="s">
        <v>446</v>
      </c>
      <c r="C102" s="341" t="s">
        <v>289</v>
      </c>
      <c r="D102" s="342">
        <f>1/0.08*1.1*5.5*0.395*1.1</f>
        <v>32.859062500000007</v>
      </c>
      <c r="E102" s="343">
        <f>E96</f>
        <v>12038.738738738737</v>
      </c>
      <c r="F102" s="354">
        <f>D102*E102</f>
        <v>395581.6686373874</v>
      </c>
    </row>
    <row r="103" spans="1:6" ht="12.75" customHeight="1" thickBot="1">
      <c r="A103" s="340"/>
      <c r="B103" s="345" t="s">
        <v>447</v>
      </c>
      <c r="C103" s="341" t="s">
        <v>40</v>
      </c>
      <c r="D103" s="342">
        <f>1/0.08*0.8</f>
        <v>10</v>
      </c>
      <c r="E103" s="343">
        <f>E91</f>
        <v>77896.969696969696</v>
      </c>
      <c r="F103" s="355">
        <f>D103*E103</f>
        <v>778969.69696969702</v>
      </c>
    </row>
    <row r="104" spans="1:6" ht="12.75" customHeight="1">
      <c r="A104" s="340"/>
      <c r="B104" s="451" t="s">
        <v>448</v>
      </c>
      <c r="C104" s="341"/>
      <c r="D104" s="342"/>
      <c r="E104" s="343"/>
      <c r="F104" s="350">
        <f>SUM(F100:F103)</f>
        <v>3176740.2620034805</v>
      </c>
    </row>
    <row r="105" spans="1:6" ht="12.75" customHeight="1">
      <c r="A105" s="340">
        <v>17</v>
      </c>
      <c r="B105" s="450" t="s">
        <v>463</v>
      </c>
      <c r="C105" s="341"/>
      <c r="D105" s="342"/>
      <c r="E105" s="343"/>
      <c r="F105" s="354"/>
    </row>
    <row r="106" spans="1:6" ht="12.75" customHeight="1">
      <c r="A106" s="340"/>
      <c r="B106" s="345" t="s">
        <v>444</v>
      </c>
      <c r="C106" s="341" t="s">
        <v>37</v>
      </c>
      <c r="D106" s="342">
        <v>1</v>
      </c>
      <c r="E106" s="343">
        <f>E100</f>
        <v>960450</v>
      </c>
      <c r="F106" s="354">
        <f>D106*E106</f>
        <v>960450</v>
      </c>
    </row>
    <row r="107" spans="1:6" ht="12.75" customHeight="1">
      <c r="A107" s="340"/>
      <c r="B107" s="345" t="s">
        <v>450</v>
      </c>
      <c r="C107" s="341" t="s">
        <v>289</v>
      </c>
      <c r="D107" s="342">
        <f>1/0.08*6.5*1.04*1.15</f>
        <v>97.174999999999997</v>
      </c>
      <c r="E107" s="343">
        <f t="shared" ref="E107:E109" si="11">E101</f>
        <v>12669.369369369369</v>
      </c>
      <c r="F107" s="354">
        <f>D107*E107</f>
        <v>1231145.9684684684</v>
      </c>
    </row>
    <row r="108" spans="1:6" ht="12.75" customHeight="1">
      <c r="A108" s="340"/>
      <c r="B108" s="345" t="s">
        <v>446</v>
      </c>
      <c r="C108" s="341" t="s">
        <v>289</v>
      </c>
      <c r="D108" s="342">
        <f>1/0.08*1.1*5.5*0.395*1.1</f>
        <v>32.859062500000007</v>
      </c>
      <c r="E108" s="343">
        <f>E102</f>
        <v>12038.738738738737</v>
      </c>
      <c r="F108" s="354">
        <f>D108*E108</f>
        <v>395581.6686373874</v>
      </c>
    </row>
    <row r="109" spans="1:6" ht="12.75" customHeight="1" thickBot="1">
      <c r="A109" s="340"/>
      <c r="B109" s="345" t="s">
        <v>447</v>
      </c>
      <c r="C109" s="341" t="s">
        <v>40</v>
      </c>
      <c r="D109" s="342">
        <f>1/0.08*0.8</f>
        <v>10</v>
      </c>
      <c r="E109" s="343">
        <f t="shared" si="11"/>
        <v>77896.969696969696</v>
      </c>
      <c r="F109" s="355">
        <f>D109*E109</f>
        <v>778969.69696969702</v>
      </c>
    </row>
    <row r="110" spans="1:6" ht="12.75" customHeight="1">
      <c r="A110" s="340"/>
      <c r="B110" s="451" t="s">
        <v>448</v>
      </c>
      <c r="C110" s="341"/>
      <c r="D110" s="342"/>
      <c r="E110" s="343"/>
      <c r="F110" s="350">
        <f>SUM(F106:F109)</f>
        <v>3366147.3340755533</v>
      </c>
    </row>
    <row r="111" spans="1:6" ht="12.75" customHeight="1">
      <c r="A111" s="340">
        <v>18</v>
      </c>
      <c r="B111" s="450" t="s">
        <v>605</v>
      </c>
      <c r="C111" s="341"/>
      <c r="D111" s="342"/>
      <c r="E111" s="343"/>
      <c r="F111" s="354"/>
    </row>
    <row r="112" spans="1:6" ht="12.75" customHeight="1">
      <c r="A112" s="340"/>
      <c r="B112" s="345" t="s">
        <v>444</v>
      </c>
      <c r="C112" s="341" t="s">
        <v>37</v>
      </c>
      <c r="D112" s="342">
        <v>1</v>
      </c>
      <c r="E112" s="343">
        <f>Analisa!F31</f>
        <v>1232750</v>
      </c>
      <c r="F112" s="354">
        <f>D112*E112</f>
        <v>1232750</v>
      </c>
    </row>
    <row r="113" spans="1:6" ht="12.75" customHeight="1">
      <c r="A113" s="340"/>
      <c r="B113" s="345" t="s">
        <v>450</v>
      </c>
      <c r="C113" s="341" t="s">
        <v>289</v>
      </c>
      <c r="D113" s="342">
        <f>1/0.08*6*1.04*1.15</f>
        <v>89.699999999999989</v>
      </c>
      <c r="E113" s="343">
        <f t="shared" ref="E113" si="12">E107</f>
        <v>12669.369369369369</v>
      </c>
      <c r="F113" s="354">
        <f>D113*E113</f>
        <v>1136442.4324324322</v>
      </c>
    </row>
    <row r="114" spans="1:6" ht="12.75" customHeight="1">
      <c r="A114" s="340"/>
      <c r="B114" s="345" t="s">
        <v>446</v>
      </c>
      <c r="C114" s="341" t="s">
        <v>289</v>
      </c>
      <c r="D114" s="342">
        <f>1/0.08*1.1*5.5*0.395*1.1</f>
        <v>32.859062500000007</v>
      </c>
      <c r="E114" s="343">
        <f>E108</f>
        <v>12038.738738738737</v>
      </c>
      <c r="F114" s="354">
        <f>D114*E114</f>
        <v>395581.6686373874</v>
      </c>
    </row>
    <row r="115" spans="1:6" ht="12.75" customHeight="1" thickBot="1">
      <c r="A115" s="340"/>
      <c r="B115" s="345" t="s">
        <v>522</v>
      </c>
      <c r="C115" s="341" t="s">
        <v>40</v>
      </c>
      <c r="D115" s="342">
        <f>1/0.08*0.8</f>
        <v>10</v>
      </c>
      <c r="E115" s="343">
        <f>E97</f>
        <v>79116.75</v>
      </c>
      <c r="F115" s="355">
        <f>D115*E115</f>
        <v>791167.5</v>
      </c>
    </row>
    <row r="116" spans="1:6" ht="12.75" customHeight="1">
      <c r="A116" s="340"/>
      <c r="B116" s="451" t="s">
        <v>448</v>
      </c>
      <c r="C116" s="341"/>
      <c r="D116" s="342"/>
      <c r="E116" s="343"/>
      <c r="F116" s="350">
        <f>SUM(F112:F115)</f>
        <v>3555941.6010698196</v>
      </c>
    </row>
    <row r="117" spans="1:6" ht="12.75" customHeight="1">
      <c r="A117" s="340">
        <v>19</v>
      </c>
      <c r="B117" s="450" t="s">
        <v>606</v>
      </c>
      <c r="C117" s="341"/>
      <c r="D117" s="342"/>
      <c r="E117" s="343"/>
      <c r="F117" s="354"/>
    </row>
    <row r="118" spans="1:6" ht="12.75" customHeight="1">
      <c r="A118" s="340"/>
      <c r="B118" s="345" t="s">
        <v>444</v>
      </c>
      <c r="C118" s="341" t="s">
        <v>37</v>
      </c>
      <c r="D118" s="342">
        <v>1</v>
      </c>
      <c r="E118" s="343">
        <f>E112</f>
        <v>1232750</v>
      </c>
      <c r="F118" s="354">
        <f>D118*E118</f>
        <v>1232750</v>
      </c>
    </row>
    <row r="119" spans="1:6" ht="12.75" customHeight="1">
      <c r="A119" s="340"/>
      <c r="B119" s="345" t="s">
        <v>450</v>
      </c>
      <c r="C119" s="341" t="s">
        <v>289</v>
      </c>
      <c r="D119" s="342">
        <f>1/0.08*7*1.04*1.15</f>
        <v>104.64999999999999</v>
      </c>
      <c r="E119" s="343">
        <f t="shared" ref="E119:E121" si="13">E113</f>
        <v>12669.369369369369</v>
      </c>
      <c r="F119" s="354">
        <f>D119*E119</f>
        <v>1325849.5045045044</v>
      </c>
    </row>
    <row r="120" spans="1:6" ht="12.75" customHeight="1">
      <c r="A120" s="340"/>
      <c r="B120" s="345" t="s">
        <v>446</v>
      </c>
      <c r="C120" s="341" t="s">
        <v>289</v>
      </c>
      <c r="D120" s="342">
        <f>1/0.08*1.1*8.5*0.395*1.1</f>
        <v>50.782187500000013</v>
      </c>
      <c r="E120" s="343">
        <f>E114</f>
        <v>12038.738738738737</v>
      </c>
      <c r="F120" s="354">
        <f>D120*E120</f>
        <v>611353.48789414426</v>
      </c>
    </row>
    <row r="121" spans="1:6" ht="12.75" customHeight="1" thickBot="1">
      <c r="A121" s="340"/>
      <c r="B121" s="345" t="s">
        <v>522</v>
      </c>
      <c r="C121" s="341" t="s">
        <v>40</v>
      </c>
      <c r="D121" s="342">
        <f>1/0.08*0.8</f>
        <v>10</v>
      </c>
      <c r="E121" s="343">
        <f t="shared" si="13"/>
        <v>79116.75</v>
      </c>
      <c r="F121" s="355">
        <f>D121*E121</f>
        <v>791167.5</v>
      </c>
    </row>
    <row r="122" spans="1:6" ht="12.75" customHeight="1">
      <c r="A122" s="340"/>
      <c r="B122" s="451" t="s">
        <v>448</v>
      </c>
      <c r="C122" s="341"/>
      <c r="D122" s="342"/>
      <c r="E122" s="343"/>
      <c r="F122" s="350">
        <f>SUM(F118:F121)</f>
        <v>3961120.492398649</v>
      </c>
    </row>
    <row r="123" spans="1:6" ht="12.75" customHeight="1">
      <c r="A123" s="340">
        <v>20</v>
      </c>
      <c r="B123" s="450" t="s">
        <v>607</v>
      </c>
      <c r="C123" s="341"/>
      <c r="D123" s="342"/>
      <c r="E123" s="343"/>
      <c r="F123" s="354"/>
    </row>
    <row r="124" spans="1:6" ht="12.75" customHeight="1">
      <c r="A124" s="340"/>
      <c r="B124" s="345" t="s">
        <v>444</v>
      </c>
      <c r="C124" s="341" t="s">
        <v>37</v>
      </c>
      <c r="D124" s="342">
        <v>1</v>
      </c>
      <c r="E124" s="343">
        <f>E118</f>
        <v>1232750</v>
      </c>
      <c r="F124" s="354">
        <f>D124*E124</f>
        <v>1232750</v>
      </c>
    </row>
    <row r="125" spans="1:6" ht="12.75" customHeight="1">
      <c r="A125" s="340"/>
      <c r="B125" s="345" t="s">
        <v>450</v>
      </c>
      <c r="C125" s="341" t="s">
        <v>289</v>
      </c>
      <c r="D125" s="342">
        <f>1/0.08*7*1.04*1.15</f>
        <v>104.64999999999999</v>
      </c>
      <c r="E125" s="343">
        <f t="shared" ref="E125:E127" si="14">E119</f>
        <v>12669.369369369369</v>
      </c>
      <c r="F125" s="354">
        <f>D125*E125</f>
        <v>1325849.5045045044</v>
      </c>
    </row>
    <row r="126" spans="1:6" ht="12.75" customHeight="1">
      <c r="A126" s="340"/>
      <c r="B126" s="345" t="s">
        <v>446</v>
      </c>
      <c r="C126" s="341" t="s">
        <v>289</v>
      </c>
      <c r="D126" s="342">
        <f>1/0.08*1.1*13.5*0.395*1.1</f>
        <v>80.654062500000023</v>
      </c>
      <c r="E126" s="343">
        <f>E120</f>
        <v>12038.738738738737</v>
      </c>
      <c r="F126" s="354">
        <f>D126*E126</f>
        <v>970973.18665540556</v>
      </c>
    </row>
    <row r="127" spans="1:6" ht="12.75" customHeight="1" thickBot="1">
      <c r="A127" s="340"/>
      <c r="B127" s="345" t="s">
        <v>522</v>
      </c>
      <c r="C127" s="341" t="s">
        <v>40</v>
      </c>
      <c r="D127" s="342">
        <f>1/0.08*0.8</f>
        <v>10</v>
      </c>
      <c r="E127" s="343">
        <f t="shared" si="14"/>
        <v>79116.75</v>
      </c>
      <c r="F127" s="355">
        <f>D127*E127</f>
        <v>791167.5</v>
      </c>
    </row>
    <row r="128" spans="1:6" ht="12.75" customHeight="1">
      <c r="A128" s="340"/>
      <c r="B128" s="451" t="s">
        <v>448</v>
      </c>
      <c r="C128" s="341"/>
      <c r="D128" s="342"/>
      <c r="E128" s="343"/>
      <c r="F128" s="350">
        <f>SUM(F124:F127)</f>
        <v>4320740.1911599096</v>
      </c>
    </row>
    <row r="129" spans="1:8" ht="12.75" customHeight="1">
      <c r="A129" s="340">
        <v>21</v>
      </c>
      <c r="B129" s="450" t="s">
        <v>608</v>
      </c>
      <c r="C129" s="341"/>
      <c r="D129" s="342"/>
      <c r="E129" s="343"/>
      <c r="F129" s="354"/>
    </row>
    <row r="130" spans="1:8" ht="12.75" customHeight="1">
      <c r="A130" s="340"/>
      <c r="B130" s="345" t="s">
        <v>444</v>
      </c>
      <c r="C130" s="341" t="s">
        <v>37</v>
      </c>
      <c r="D130" s="342">
        <v>1</v>
      </c>
      <c r="E130" s="343">
        <f>E124</f>
        <v>1232750</v>
      </c>
      <c r="F130" s="354">
        <f>D130*E130</f>
        <v>1232750</v>
      </c>
      <c r="H130" s="356"/>
    </row>
    <row r="131" spans="1:8" ht="12.75" customHeight="1">
      <c r="A131" s="340"/>
      <c r="B131" s="345" t="s">
        <v>450</v>
      </c>
      <c r="C131" s="341" t="s">
        <v>289</v>
      </c>
      <c r="D131" s="342">
        <f>1/0.08*7.75*1.04*1.15</f>
        <v>115.8625</v>
      </c>
      <c r="E131" s="343">
        <f t="shared" ref="E131:E133" si="15">E125</f>
        <v>12669.369369369369</v>
      </c>
      <c r="F131" s="354">
        <f>D131*E131</f>
        <v>1467904.8085585586</v>
      </c>
    </row>
    <row r="132" spans="1:8" ht="12.75" customHeight="1">
      <c r="A132" s="340"/>
      <c r="B132" s="345" t="s">
        <v>446</v>
      </c>
      <c r="C132" s="341" t="s">
        <v>289</v>
      </c>
      <c r="D132" s="342">
        <f>1/0.08*1.1*8.5*0.395*1.1</f>
        <v>50.782187500000013</v>
      </c>
      <c r="E132" s="343">
        <f>E126</f>
        <v>12038.738738738737</v>
      </c>
      <c r="F132" s="354">
        <f>D132*E132</f>
        <v>611353.48789414426</v>
      </c>
      <c r="H132" s="356"/>
    </row>
    <row r="133" spans="1:8" ht="12.75" customHeight="1" thickBot="1">
      <c r="A133" s="340"/>
      <c r="B133" s="345" t="s">
        <v>522</v>
      </c>
      <c r="C133" s="341" t="s">
        <v>40</v>
      </c>
      <c r="D133" s="342">
        <f>1/0.08*0.8</f>
        <v>10</v>
      </c>
      <c r="E133" s="343">
        <f t="shared" si="15"/>
        <v>79116.75</v>
      </c>
      <c r="F133" s="355">
        <f>D133*E133</f>
        <v>791167.5</v>
      </c>
    </row>
    <row r="134" spans="1:8" ht="12.75" customHeight="1">
      <c r="A134" s="340"/>
      <c r="B134" s="451" t="s">
        <v>448</v>
      </c>
      <c r="C134" s="341"/>
      <c r="D134" s="342"/>
      <c r="E134" s="343"/>
      <c r="F134" s="350">
        <f>SUM(F130:F133)</f>
        <v>4103175.796452703</v>
      </c>
    </row>
    <row r="135" spans="1:8" ht="12.75" customHeight="1">
      <c r="A135" s="340">
        <v>22</v>
      </c>
      <c r="B135" s="450" t="s">
        <v>464</v>
      </c>
      <c r="C135" s="341"/>
      <c r="D135" s="342"/>
      <c r="E135" s="343"/>
      <c r="F135" s="354"/>
    </row>
    <row r="136" spans="1:8" ht="12.75" customHeight="1">
      <c r="A136" s="340"/>
      <c r="B136" s="345" t="s">
        <v>444</v>
      </c>
      <c r="C136" s="341" t="s">
        <v>37</v>
      </c>
      <c r="D136" s="342">
        <v>1</v>
      </c>
      <c r="E136" s="343">
        <f>E106</f>
        <v>960450</v>
      </c>
      <c r="F136" s="354">
        <f>D136*E136</f>
        <v>960450</v>
      </c>
      <c r="H136" s="356"/>
    </row>
    <row r="137" spans="1:8" ht="12.75" customHeight="1">
      <c r="A137" s="340"/>
      <c r="B137" s="345" t="s">
        <v>450</v>
      </c>
      <c r="C137" s="341" t="s">
        <v>289</v>
      </c>
      <c r="D137" s="342">
        <f>1/0.1*8*1.04*1.15</f>
        <v>95.679999999999993</v>
      </c>
      <c r="E137" s="343">
        <f t="shared" ref="E137" si="16">E131</f>
        <v>12669.369369369369</v>
      </c>
      <c r="F137" s="354">
        <f>D137*E137</f>
        <v>1212205.2612612611</v>
      </c>
    </row>
    <row r="138" spans="1:8" ht="12.75" customHeight="1">
      <c r="A138" s="340"/>
      <c r="B138" s="345" t="s">
        <v>446</v>
      </c>
      <c r="C138" s="341" t="s">
        <v>289</v>
      </c>
      <c r="D138" s="342">
        <f>1/0.1*2*0.395*1.1</f>
        <v>8.6900000000000013</v>
      </c>
      <c r="E138" s="343">
        <f>E132</f>
        <v>12038.738738738737</v>
      </c>
      <c r="F138" s="354">
        <f>D138*E138</f>
        <v>104616.63963963964</v>
      </c>
      <c r="H138" s="356"/>
    </row>
    <row r="139" spans="1:8" ht="12.75" customHeight="1">
      <c r="A139" s="340"/>
      <c r="B139" s="345" t="s">
        <v>446</v>
      </c>
      <c r="C139" s="341" t="s">
        <v>289</v>
      </c>
      <c r="D139" s="342">
        <f>1/0.1*1.3*6.5*0.395*1.1</f>
        <v>36.715250000000012</v>
      </c>
      <c r="E139" s="343">
        <f>E132</f>
        <v>12038.738738738737</v>
      </c>
      <c r="F139" s="354">
        <f>D139*E139</f>
        <v>442005.30247747758</v>
      </c>
      <c r="H139" s="356"/>
    </row>
    <row r="140" spans="1:8" ht="12.75" customHeight="1" thickBot="1">
      <c r="A140" s="340"/>
      <c r="B140" s="345" t="s">
        <v>447</v>
      </c>
      <c r="C140" s="341" t="s">
        <v>40</v>
      </c>
      <c r="D140" s="342">
        <f>1/0.1*1</f>
        <v>10</v>
      </c>
      <c r="E140" s="343">
        <f>E109</f>
        <v>77896.969696969696</v>
      </c>
      <c r="F140" s="355">
        <f>D140*E140</f>
        <v>778969.69696969702</v>
      </c>
    </row>
    <row r="141" spans="1:8" ht="12.75" customHeight="1">
      <c r="A141" s="340"/>
      <c r="B141" s="451" t="s">
        <v>448</v>
      </c>
      <c r="C141" s="341"/>
      <c r="D141" s="342"/>
      <c r="E141" s="343"/>
      <c r="F141" s="350">
        <f>SUM(F136:F140)</f>
        <v>3498246.9003480757</v>
      </c>
    </row>
    <row r="142" spans="1:8" ht="12.75" customHeight="1">
      <c r="A142" s="340">
        <v>23</v>
      </c>
      <c r="B142" s="450" t="s">
        <v>465</v>
      </c>
      <c r="C142" s="341"/>
      <c r="D142" s="342"/>
      <c r="E142" s="343"/>
      <c r="F142" s="354"/>
    </row>
    <row r="143" spans="1:8" ht="12.75" customHeight="1">
      <c r="A143" s="340"/>
      <c r="B143" s="345" t="s">
        <v>444</v>
      </c>
      <c r="C143" s="341" t="s">
        <v>37</v>
      </c>
      <c r="D143" s="342">
        <v>1</v>
      </c>
      <c r="E143" s="343">
        <f>E136</f>
        <v>960450</v>
      </c>
      <c r="F143" s="354">
        <f>D143*E143</f>
        <v>960450</v>
      </c>
      <c r="H143" s="356"/>
    </row>
    <row r="144" spans="1:8" ht="12.75" customHeight="1">
      <c r="A144" s="340"/>
      <c r="B144" s="345" t="s">
        <v>450</v>
      </c>
      <c r="C144" s="341" t="s">
        <v>289</v>
      </c>
      <c r="D144" s="342">
        <f>1/0.1*8*1.04*1.15</f>
        <v>95.679999999999993</v>
      </c>
      <c r="E144" s="343">
        <f>E137</f>
        <v>12669.369369369369</v>
      </c>
      <c r="F144" s="354">
        <f>D144*E144</f>
        <v>1212205.2612612611</v>
      </c>
    </row>
    <row r="145" spans="1:8" ht="12.75" customHeight="1">
      <c r="A145" s="340"/>
      <c r="B145" s="345" t="s">
        <v>446</v>
      </c>
      <c r="C145" s="341" t="s">
        <v>289</v>
      </c>
      <c r="D145" s="342">
        <f>1/0.1*2*0.395*1.1</f>
        <v>8.6900000000000013</v>
      </c>
      <c r="E145" s="343">
        <f>E139</f>
        <v>12038.738738738737</v>
      </c>
      <c r="F145" s="354">
        <f>D145*E145</f>
        <v>104616.63963963964</v>
      </c>
      <c r="H145" s="356"/>
    </row>
    <row r="146" spans="1:8" ht="12.75" customHeight="1">
      <c r="A146" s="340"/>
      <c r="B146" s="345" t="s">
        <v>446</v>
      </c>
      <c r="C146" s="341" t="s">
        <v>289</v>
      </c>
      <c r="D146" s="342">
        <f>1/0.1*1.3*8*0.395*1.1</f>
        <v>45.188000000000002</v>
      </c>
      <c r="E146" s="343">
        <f>E139</f>
        <v>12038.738738738737</v>
      </c>
      <c r="F146" s="354">
        <f>D146*E146</f>
        <v>544006.52612612606</v>
      </c>
      <c r="H146" s="356"/>
    </row>
    <row r="147" spans="1:8" ht="12.75" customHeight="1" thickBot="1">
      <c r="A147" s="340"/>
      <c r="B147" s="345" t="s">
        <v>447</v>
      </c>
      <c r="C147" s="341" t="s">
        <v>40</v>
      </c>
      <c r="D147" s="342">
        <f>1/0.1*1</f>
        <v>10</v>
      </c>
      <c r="E147" s="343">
        <f>E140</f>
        <v>77896.969696969696</v>
      </c>
      <c r="F147" s="355">
        <f>D147*E147</f>
        <v>778969.69696969702</v>
      </c>
    </row>
    <row r="148" spans="1:8" ht="12.75" customHeight="1">
      <c r="A148" s="340"/>
      <c r="B148" s="451" t="s">
        <v>448</v>
      </c>
      <c r="C148" s="341"/>
      <c r="D148" s="342"/>
      <c r="E148" s="343"/>
      <c r="F148" s="350">
        <f>SUM(F143:F147)</f>
        <v>3600248.1239967244</v>
      </c>
    </row>
    <row r="149" spans="1:8" ht="12.75" customHeight="1">
      <c r="A149" s="340">
        <v>24</v>
      </c>
      <c r="B149" s="450" t="s">
        <v>466</v>
      </c>
      <c r="C149" s="341"/>
      <c r="D149" s="342"/>
      <c r="E149" s="343"/>
      <c r="F149" s="354"/>
    </row>
    <row r="150" spans="1:8" ht="12.75" customHeight="1">
      <c r="A150" s="340"/>
      <c r="B150" s="345" t="s">
        <v>444</v>
      </c>
      <c r="C150" s="341" t="s">
        <v>37</v>
      </c>
      <c r="D150" s="342">
        <v>1</v>
      </c>
      <c r="E150" s="343">
        <f>E143</f>
        <v>960450</v>
      </c>
      <c r="F150" s="354">
        <f>D150*E150</f>
        <v>960450</v>
      </c>
      <c r="H150" s="356"/>
    </row>
    <row r="151" spans="1:8" ht="12.75" customHeight="1">
      <c r="A151" s="340"/>
      <c r="B151" s="345" t="s">
        <v>450</v>
      </c>
      <c r="C151" s="341" t="s">
        <v>289</v>
      </c>
      <c r="D151" s="342">
        <f>1/0.1*7.25*1.04*1.15</f>
        <v>86.71</v>
      </c>
      <c r="E151" s="343">
        <f>E144</f>
        <v>12669.369369369369</v>
      </c>
      <c r="F151" s="354">
        <f>D151*E151</f>
        <v>1098561.018018018</v>
      </c>
    </row>
    <row r="152" spans="1:8" ht="12.75" customHeight="1">
      <c r="A152" s="340"/>
      <c r="B152" s="345" t="s">
        <v>446</v>
      </c>
      <c r="C152" s="341" t="s">
        <v>289</v>
      </c>
      <c r="D152" s="342">
        <f>1/0.1*2*0.395*1.1</f>
        <v>8.6900000000000013</v>
      </c>
      <c r="E152" s="343">
        <f>E146</f>
        <v>12038.738738738737</v>
      </c>
      <c r="F152" s="354">
        <f>D152*E152</f>
        <v>104616.63963963964</v>
      </c>
      <c r="H152" s="356"/>
    </row>
    <row r="153" spans="1:8" ht="12.75" customHeight="1">
      <c r="A153" s="340"/>
      <c r="B153" s="345" t="s">
        <v>446</v>
      </c>
      <c r="C153" s="341" t="s">
        <v>289</v>
      </c>
      <c r="D153" s="342">
        <f>1/0.1*1.3*6.5*0.395*1.1</f>
        <v>36.715250000000012</v>
      </c>
      <c r="E153" s="343">
        <f>E146</f>
        <v>12038.738738738737</v>
      </c>
      <c r="F153" s="354">
        <f>D153*E153</f>
        <v>442005.30247747758</v>
      </c>
      <c r="H153" s="356"/>
    </row>
    <row r="154" spans="1:8" ht="12.75" customHeight="1" thickBot="1">
      <c r="A154" s="340"/>
      <c r="B154" s="345" t="s">
        <v>447</v>
      </c>
      <c r="C154" s="341" t="s">
        <v>40</v>
      </c>
      <c r="D154" s="342">
        <f>1/0.1*1</f>
        <v>10</v>
      </c>
      <c r="E154" s="343">
        <f>E147</f>
        <v>77896.969696969696</v>
      </c>
      <c r="F154" s="355">
        <f>D154*E154</f>
        <v>778969.69696969702</v>
      </c>
    </row>
    <row r="155" spans="1:8" ht="12.75" customHeight="1">
      <c r="A155" s="340"/>
      <c r="B155" s="451" t="s">
        <v>448</v>
      </c>
      <c r="C155" s="341"/>
      <c r="D155" s="342"/>
      <c r="E155" s="343"/>
      <c r="F155" s="350">
        <f>SUM(F150:F154)</f>
        <v>3384602.6571048321</v>
      </c>
    </row>
    <row r="156" spans="1:8" ht="12.75" customHeight="1">
      <c r="A156" s="340">
        <v>25</v>
      </c>
      <c r="B156" s="450" t="s">
        <v>467</v>
      </c>
      <c r="C156" s="341"/>
      <c r="D156" s="342"/>
      <c r="E156" s="343"/>
      <c r="F156" s="354"/>
    </row>
    <row r="157" spans="1:8" ht="12.75" customHeight="1">
      <c r="A157" s="340"/>
      <c r="B157" s="345" t="s">
        <v>444</v>
      </c>
      <c r="C157" s="341" t="s">
        <v>37</v>
      </c>
      <c r="D157" s="342">
        <v>1</v>
      </c>
      <c r="E157" s="343">
        <f>E150</f>
        <v>960450</v>
      </c>
      <c r="F157" s="354">
        <f>D157*E157</f>
        <v>960450</v>
      </c>
      <c r="H157" s="356"/>
    </row>
    <row r="158" spans="1:8" ht="12.75" customHeight="1">
      <c r="A158" s="340"/>
      <c r="B158" s="345" t="s">
        <v>450</v>
      </c>
      <c r="C158" s="341" t="s">
        <v>289</v>
      </c>
      <c r="D158" s="342">
        <f>1/0.1*5.5*1.04*1.15</f>
        <v>65.78</v>
      </c>
      <c r="E158" s="343">
        <f>E151</f>
        <v>12669.369369369369</v>
      </c>
      <c r="F158" s="354">
        <f>D158*E158</f>
        <v>833391.11711711716</v>
      </c>
    </row>
    <row r="159" spans="1:8" ht="12.75" customHeight="1">
      <c r="A159" s="340"/>
      <c r="B159" s="345" t="s">
        <v>446</v>
      </c>
      <c r="C159" s="341" t="s">
        <v>289</v>
      </c>
      <c r="D159" s="342">
        <f>1/0.1*2*0.395*1.1</f>
        <v>8.6900000000000013</v>
      </c>
      <c r="E159" s="343">
        <f>E153</f>
        <v>12038.738738738737</v>
      </c>
      <c r="F159" s="354">
        <f>D159*E159</f>
        <v>104616.63963963964</v>
      </c>
      <c r="H159" s="356"/>
    </row>
    <row r="160" spans="1:8" ht="12.75" customHeight="1">
      <c r="A160" s="340"/>
      <c r="B160" s="345" t="s">
        <v>446</v>
      </c>
      <c r="C160" s="341" t="s">
        <v>289</v>
      </c>
      <c r="D160" s="342">
        <f>1/0.1*1.3*8*0.395*1.1</f>
        <v>45.188000000000002</v>
      </c>
      <c r="E160" s="343">
        <f>E153</f>
        <v>12038.738738738737</v>
      </c>
      <c r="F160" s="354">
        <f>D160*E160</f>
        <v>544006.52612612606</v>
      </c>
      <c r="H160" s="356"/>
    </row>
    <row r="161" spans="1:8" ht="12.75" customHeight="1" thickBot="1">
      <c r="A161" s="340"/>
      <c r="B161" s="345" t="s">
        <v>447</v>
      </c>
      <c r="C161" s="341" t="s">
        <v>40</v>
      </c>
      <c r="D161" s="342">
        <f>1/0.1*1</f>
        <v>10</v>
      </c>
      <c r="E161" s="343">
        <f>E154</f>
        <v>77896.969696969696</v>
      </c>
      <c r="F161" s="355">
        <f>D161*E161</f>
        <v>778969.69696969702</v>
      </c>
    </row>
    <row r="162" spans="1:8" ht="12.75" customHeight="1">
      <c r="A162" s="340"/>
      <c r="B162" s="451" t="s">
        <v>448</v>
      </c>
      <c r="C162" s="341"/>
      <c r="D162" s="342"/>
      <c r="E162" s="343"/>
      <c r="F162" s="350">
        <f>SUM(F157:F161)</f>
        <v>3221433.9798525805</v>
      </c>
    </row>
    <row r="163" spans="1:8" ht="12.75" customHeight="1">
      <c r="A163" s="340">
        <v>26</v>
      </c>
      <c r="B163" s="450" t="s">
        <v>468</v>
      </c>
      <c r="C163" s="341"/>
      <c r="D163" s="342"/>
      <c r="E163" s="343"/>
      <c r="F163" s="354"/>
    </row>
    <row r="164" spans="1:8" ht="12.75" customHeight="1">
      <c r="A164" s="340"/>
      <c r="B164" s="345" t="s">
        <v>444</v>
      </c>
      <c r="C164" s="341" t="s">
        <v>37</v>
      </c>
      <c r="D164" s="342">
        <v>1</v>
      </c>
      <c r="E164" s="343">
        <f>E157</f>
        <v>960450</v>
      </c>
      <c r="F164" s="354">
        <f>D164*E164</f>
        <v>960450</v>
      </c>
      <c r="H164" s="356"/>
    </row>
    <row r="165" spans="1:8" ht="12.75" customHeight="1">
      <c r="A165" s="340"/>
      <c r="B165" s="345" t="s">
        <v>450</v>
      </c>
      <c r="C165" s="341" t="s">
        <v>289</v>
      </c>
      <c r="D165" s="342">
        <f>1/0.1*9.5*1.04*1.15</f>
        <v>113.61999999999999</v>
      </c>
      <c r="E165" s="343">
        <f>E158</f>
        <v>12669.369369369369</v>
      </c>
      <c r="F165" s="354">
        <f>D165*E165</f>
        <v>1439493.7477477477</v>
      </c>
    </row>
    <row r="166" spans="1:8" ht="12.75" customHeight="1">
      <c r="A166" s="340"/>
      <c r="B166" s="345" t="s">
        <v>446</v>
      </c>
      <c r="C166" s="341" t="s">
        <v>289</v>
      </c>
      <c r="D166" s="342">
        <f>1/0.1*2*0.395*1.1</f>
        <v>8.6900000000000013</v>
      </c>
      <c r="E166" s="343">
        <f>E160</f>
        <v>12038.738738738737</v>
      </c>
      <c r="F166" s="354">
        <f>D166*E166</f>
        <v>104616.63963963964</v>
      </c>
      <c r="H166" s="356"/>
    </row>
    <row r="167" spans="1:8" ht="12.75" customHeight="1">
      <c r="A167" s="340"/>
      <c r="B167" s="345" t="s">
        <v>446</v>
      </c>
      <c r="C167" s="341" t="s">
        <v>289</v>
      </c>
      <c r="D167" s="342">
        <f>1/0.1*1.3*8*0.395*1.1</f>
        <v>45.188000000000002</v>
      </c>
      <c r="E167" s="343">
        <f>E160</f>
        <v>12038.738738738737</v>
      </c>
      <c r="F167" s="354">
        <f>D167*E167</f>
        <v>544006.52612612606</v>
      </c>
      <c r="H167" s="356"/>
    </row>
    <row r="168" spans="1:8" ht="12.75" customHeight="1" thickBot="1">
      <c r="A168" s="340"/>
      <c r="B168" s="345" t="s">
        <v>447</v>
      </c>
      <c r="C168" s="341" t="s">
        <v>40</v>
      </c>
      <c r="D168" s="342">
        <f>1/0.1*1</f>
        <v>10</v>
      </c>
      <c r="E168" s="343">
        <f>E161</f>
        <v>77896.969696969696</v>
      </c>
      <c r="F168" s="355">
        <f>D168*E168</f>
        <v>778969.69696969702</v>
      </c>
    </row>
    <row r="169" spans="1:8" ht="12.75" customHeight="1">
      <c r="A169" s="340"/>
      <c r="B169" s="451" t="s">
        <v>448</v>
      </c>
      <c r="C169" s="341"/>
      <c r="D169" s="342"/>
      <c r="E169" s="343"/>
      <c r="F169" s="350">
        <f>SUM(F164:F168)</f>
        <v>3827536.6104832105</v>
      </c>
    </row>
    <row r="170" spans="1:8" ht="12.75" customHeight="1">
      <c r="A170" s="340">
        <v>27</v>
      </c>
      <c r="B170" s="450" t="s">
        <v>469</v>
      </c>
      <c r="C170" s="341"/>
      <c r="D170" s="342"/>
      <c r="E170" s="343"/>
      <c r="F170" s="357"/>
    </row>
    <row r="171" spans="1:8" ht="12.75" customHeight="1">
      <c r="A171" s="340"/>
      <c r="B171" s="345" t="s">
        <v>444</v>
      </c>
      <c r="C171" s="341" t="s">
        <v>37</v>
      </c>
      <c r="D171" s="342">
        <v>1</v>
      </c>
      <c r="E171" s="343">
        <f>E58</f>
        <v>960450</v>
      </c>
      <c r="F171" s="354">
        <f>D171*E171</f>
        <v>960450</v>
      </c>
      <c r="H171" s="356"/>
    </row>
    <row r="172" spans="1:8" ht="12.75" customHeight="1">
      <c r="A172" s="340"/>
      <c r="B172" s="345" t="s">
        <v>450</v>
      </c>
      <c r="C172" s="341" t="s">
        <v>289</v>
      </c>
      <c r="D172" s="342">
        <f>1/0.1*1.9*8*1.04*1.15</f>
        <v>181.792</v>
      </c>
      <c r="E172" s="343">
        <f>E77</f>
        <v>12669.369369369369</v>
      </c>
      <c r="F172" s="354">
        <f>D172*E172</f>
        <v>2303189.9963963963</v>
      </c>
    </row>
    <row r="173" spans="1:8" ht="12.75" customHeight="1" thickBot="1">
      <c r="A173" s="340"/>
      <c r="B173" s="345" t="s">
        <v>470</v>
      </c>
      <c r="C173" s="341" t="s">
        <v>40</v>
      </c>
      <c r="D173" s="342">
        <f>1/0.1*2*0.4</f>
        <v>8</v>
      </c>
      <c r="E173" s="343">
        <f>E79</f>
        <v>77896.969696969696</v>
      </c>
      <c r="F173" s="355">
        <f>D173*E173</f>
        <v>623175.75757575757</v>
      </c>
    </row>
    <row r="174" spans="1:8" ht="12.75" customHeight="1">
      <c r="A174" s="340"/>
      <c r="B174" s="358" t="s">
        <v>448</v>
      </c>
      <c r="C174" s="359"/>
      <c r="D174" s="342"/>
      <c r="E174" s="343"/>
      <c r="F174" s="350">
        <f>SUM(F171:F173)</f>
        <v>3886815.7539721541</v>
      </c>
    </row>
    <row r="175" spans="1:8" ht="12.75" customHeight="1">
      <c r="A175" s="340">
        <v>28</v>
      </c>
      <c r="B175" s="450" t="s">
        <v>471</v>
      </c>
      <c r="C175" s="341"/>
      <c r="D175" s="342"/>
      <c r="E175" s="343"/>
      <c r="F175" s="357"/>
    </row>
    <row r="176" spans="1:8" ht="12.75" customHeight="1">
      <c r="A176" s="340"/>
      <c r="B176" s="345" t="s">
        <v>444</v>
      </c>
      <c r="C176" s="341" t="s">
        <v>37</v>
      </c>
      <c r="D176" s="342">
        <v>1</v>
      </c>
      <c r="E176" s="343">
        <f>E171</f>
        <v>960450</v>
      </c>
      <c r="F176" s="354">
        <f>D176*E176</f>
        <v>960450</v>
      </c>
      <c r="H176" s="351"/>
    </row>
    <row r="177" spans="1:6" ht="12.75" customHeight="1">
      <c r="A177" s="340"/>
      <c r="B177" s="345" t="s">
        <v>450</v>
      </c>
      <c r="C177" s="341" t="s">
        <v>289</v>
      </c>
      <c r="D177" s="342">
        <f>1/0.17*(1.8*6+2.6*4)*1.04*1.15</f>
        <v>149.14823529411765</v>
      </c>
      <c r="E177" s="343">
        <f>E172</f>
        <v>12669.369369369369</v>
      </c>
      <c r="F177" s="354">
        <f>D177*E177</f>
        <v>1889614.0837307898</v>
      </c>
    </row>
    <row r="178" spans="1:6" ht="12.75" customHeight="1" thickBot="1">
      <c r="A178" s="340"/>
      <c r="B178" s="345" t="s">
        <v>470</v>
      </c>
      <c r="C178" s="341" t="s">
        <v>40</v>
      </c>
      <c r="D178" s="342">
        <f>1/0.17*2.7*0.4</f>
        <v>6.3529411764705888</v>
      </c>
      <c r="E178" s="343">
        <f>E173</f>
        <v>77896.969696969696</v>
      </c>
      <c r="F178" s="355">
        <f>D178*E178</f>
        <v>494874.86631016049</v>
      </c>
    </row>
    <row r="179" spans="1:6" ht="12.75" customHeight="1">
      <c r="A179" s="340"/>
      <c r="B179" s="358" t="s">
        <v>448</v>
      </c>
      <c r="C179" s="359"/>
      <c r="D179" s="342"/>
      <c r="E179" s="343"/>
      <c r="F179" s="350">
        <f>SUM(F176:F178)</f>
        <v>3344938.9500409504</v>
      </c>
    </row>
    <row r="180" spans="1:6" ht="12.75" customHeight="1">
      <c r="A180" s="340">
        <v>29</v>
      </c>
      <c r="B180" s="450" t="s">
        <v>472</v>
      </c>
      <c r="C180" s="341"/>
      <c r="D180" s="342"/>
      <c r="E180" s="343"/>
      <c r="F180" s="354"/>
    </row>
    <row r="181" spans="1:6" ht="12.75" customHeight="1">
      <c r="A181" s="360"/>
      <c r="B181" s="345" t="s">
        <v>444</v>
      </c>
      <c r="C181" s="341" t="s">
        <v>37</v>
      </c>
      <c r="D181" s="342">
        <v>1</v>
      </c>
      <c r="E181" s="343">
        <f>E176</f>
        <v>960450</v>
      </c>
      <c r="F181" s="354">
        <f>D181*E181</f>
        <v>960450</v>
      </c>
    </row>
    <row r="182" spans="1:6" ht="12.75" customHeight="1">
      <c r="A182" s="360"/>
      <c r="B182" s="345" t="s">
        <v>450</v>
      </c>
      <c r="C182" s="341" t="s">
        <v>289</v>
      </c>
      <c r="D182" s="342">
        <f>1/0.25*(2.1*7+2.15*4)*1.04*1.15</f>
        <v>111.46720000000001</v>
      </c>
      <c r="E182" s="343">
        <f>E177</f>
        <v>12669.369369369369</v>
      </c>
      <c r="F182" s="354">
        <f>D182*E182</f>
        <v>1412219.1293693695</v>
      </c>
    </row>
    <row r="183" spans="1:6" ht="12.75" customHeight="1">
      <c r="A183" s="360"/>
      <c r="B183" s="345" t="s">
        <v>445</v>
      </c>
      <c r="C183" s="341" t="s">
        <v>289</v>
      </c>
      <c r="D183" s="342">
        <f>1/0.25*1.25*4*0.617*1.15</f>
        <v>14.190999999999999</v>
      </c>
      <c r="E183" s="343">
        <f>E182</f>
        <v>12669.369369369369</v>
      </c>
      <c r="F183" s="354">
        <f>D183*E183</f>
        <v>179791.0207207207</v>
      </c>
    </row>
    <row r="184" spans="1:6" ht="12.75" customHeight="1" thickBot="1">
      <c r="A184" s="360"/>
      <c r="B184" s="345" t="s">
        <v>470</v>
      </c>
      <c r="C184" s="341" t="s">
        <v>40</v>
      </c>
      <c r="D184" s="342">
        <f>1/0.25*3*0.5</f>
        <v>6</v>
      </c>
      <c r="E184" s="343">
        <f>E178</f>
        <v>77896.969696969696</v>
      </c>
      <c r="F184" s="355">
        <f>D184*E184</f>
        <v>467381.81818181818</v>
      </c>
    </row>
    <row r="185" spans="1:6" ht="12.75" customHeight="1">
      <c r="A185" s="340"/>
      <c r="B185" s="358" t="s">
        <v>448</v>
      </c>
      <c r="C185" s="341"/>
      <c r="D185" s="342"/>
      <c r="E185" s="343"/>
      <c r="F185" s="350">
        <f>SUM(F181:F184)</f>
        <v>3019841.9682719088</v>
      </c>
    </row>
    <row r="186" spans="1:6" ht="12.75" customHeight="1">
      <c r="A186" s="340">
        <v>30</v>
      </c>
      <c r="B186" s="450" t="s">
        <v>609</v>
      </c>
      <c r="C186" s="341"/>
      <c r="D186" s="342"/>
      <c r="E186" s="343"/>
      <c r="F186" s="354"/>
    </row>
    <row r="187" spans="1:6" ht="12.75" customHeight="1">
      <c r="A187" s="360"/>
      <c r="B187" s="345" t="s">
        <v>444</v>
      </c>
      <c r="C187" s="341" t="s">
        <v>37</v>
      </c>
      <c r="D187" s="342">
        <v>1</v>
      </c>
      <c r="E187" s="343">
        <f>E130</f>
        <v>1232750</v>
      </c>
      <c r="F187" s="354">
        <f>D187*E187</f>
        <v>1232750</v>
      </c>
    </row>
    <row r="188" spans="1:6" ht="12.75" customHeight="1">
      <c r="A188" s="360"/>
      <c r="B188" s="345" t="s">
        <v>450</v>
      </c>
      <c r="C188" s="341" t="s">
        <v>289</v>
      </c>
      <c r="D188" s="342">
        <f>1/0.3375*(2.8*10)*1.04*1.15</f>
        <v>99.223703703703691</v>
      </c>
      <c r="E188" s="343">
        <f t="shared" ref="E188" si="17">E172</f>
        <v>12669.369369369369</v>
      </c>
      <c r="F188" s="354">
        <f>D188*E188</f>
        <v>1257101.7524190857</v>
      </c>
    </row>
    <row r="189" spans="1:6" ht="12.75" customHeight="1" thickBot="1">
      <c r="A189" s="360"/>
      <c r="B189" s="345" t="s">
        <v>522</v>
      </c>
      <c r="C189" s="341" t="s">
        <v>40</v>
      </c>
      <c r="D189" s="342">
        <f>1/0.3375*3*0.6</f>
        <v>5.333333333333333</v>
      </c>
      <c r="E189" s="343">
        <f>E133</f>
        <v>79116.75</v>
      </c>
      <c r="F189" s="355">
        <f>D189*E189</f>
        <v>421956</v>
      </c>
    </row>
    <row r="190" spans="1:6" ht="12.75" customHeight="1">
      <c r="A190" s="340"/>
      <c r="B190" s="358" t="s">
        <v>448</v>
      </c>
      <c r="C190" s="341"/>
      <c r="D190" s="342"/>
      <c r="E190" s="343"/>
      <c r="F190" s="350">
        <f>SUM(F187:F189)</f>
        <v>2911807.7524190857</v>
      </c>
    </row>
    <row r="191" spans="1:6" ht="12.75" customHeight="1">
      <c r="A191" s="340">
        <v>31</v>
      </c>
      <c r="B191" s="450" t="s">
        <v>610</v>
      </c>
      <c r="C191" s="341"/>
      <c r="D191" s="342"/>
      <c r="E191" s="343"/>
      <c r="F191" s="354"/>
    </row>
    <row r="192" spans="1:6" ht="12.75" customHeight="1">
      <c r="A192" s="360"/>
      <c r="B192" s="345" t="s">
        <v>444</v>
      </c>
      <c r="C192" s="341" t="s">
        <v>37</v>
      </c>
      <c r="D192" s="342">
        <v>1</v>
      </c>
      <c r="E192" s="343">
        <f>E187</f>
        <v>1232750</v>
      </c>
      <c r="F192" s="354">
        <f>D192*E192</f>
        <v>1232750</v>
      </c>
    </row>
    <row r="193" spans="1:6" ht="12.75" customHeight="1">
      <c r="A193" s="360"/>
      <c r="B193" s="345" t="s">
        <v>473</v>
      </c>
      <c r="C193" s="341" t="s">
        <v>289</v>
      </c>
      <c r="D193" s="342">
        <f>1/0.675*(2.85*5)*1.578*1.15</f>
        <v>38.310333333333332</v>
      </c>
      <c r="E193" s="343">
        <f>E188</f>
        <v>12669.369369369369</v>
      </c>
      <c r="F193" s="354">
        <f>D193*E193</f>
        <v>485367.76366366365</v>
      </c>
    </row>
    <row r="194" spans="1:6" ht="12.75" customHeight="1">
      <c r="A194" s="360"/>
      <c r="B194" s="345" t="s">
        <v>450</v>
      </c>
      <c r="C194" s="341" t="s">
        <v>289</v>
      </c>
      <c r="D194" s="342">
        <f>1/0.675*(2.8*10+1.75*5)*1.04*1.15</f>
        <v>65.115555555555545</v>
      </c>
      <c r="E194" s="343">
        <f>E193</f>
        <v>12669.369369369369</v>
      </c>
      <c r="F194" s="354">
        <f>D194*E194</f>
        <v>824973.02502502489</v>
      </c>
    </row>
    <row r="195" spans="1:6" ht="12.75" customHeight="1" thickBot="1">
      <c r="A195" s="360"/>
      <c r="B195" s="345" t="s">
        <v>522</v>
      </c>
      <c r="C195" s="341" t="s">
        <v>40</v>
      </c>
      <c r="D195" s="342">
        <f>1/0.675*4.5*0.6</f>
        <v>3.9999999999999996</v>
      </c>
      <c r="E195" s="343">
        <f>E189</f>
        <v>79116.75</v>
      </c>
      <c r="F195" s="355">
        <f>D195*E195</f>
        <v>316466.99999999994</v>
      </c>
    </row>
    <row r="196" spans="1:6" ht="12.75" customHeight="1">
      <c r="A196" s="340"/>
      <c r="B196" s="358" t="s">
        <v>448</v>
      </c>
      <c r="C196" s="341"/>
      <c r="D196" s="342"/>
      <c r="E196" s="343"/>
      <c r="F196" s="350">
        <f>SUM(F192:F195)</f>
        <v>2859557.7886886885</v>
      </c>
    </row>
    <row r="197" spans="1:6" s="361" customFormat="1" ht="12.75" customHeight="1">
      <c r="A197" s="340">
        <v>32</v>
      </c>
      <c r="B197" s="450" t="s">
        <v>474</v>
      </c>
      <c r="C197" s="341" t="s">
        <v>37</v>
      </c>
      <c r="D197" s="342"/>
      <c r="E197" s="343"/>
      <c r="F197" s="354"/>
    </row>
    <row r="198" spans="1:6" ht="12.75" customHeight="1">
      <c r="A198" s="340"/>
      <c r="B198" s="345" t="s">
        <v>475</v>
      </c>
      <c r="C198" s="341" t="s">
        <v>37</v>
      </c>
      <c r="D198" s="342">
        <v>1</v>
      </c>
      <c r="E198" s="343">
        <f>Analisa!F20</f>
        <v>988811.5</v>
      </c>
      <c r="F198" s="354">
        <f>D198*E198</f>
        <v>988811.5</v>
      </c>
    </row>
    <row r="199" spans="1:6" ht="12.75" customHeight="1">
      <c r="A199" s="340"/>
      <c r="B199" s="345" t="s">
        <v>445</v>
      </c>
      <c r="C199" s="352" t="s">
        <v>289</v>
      </c>
      <c r="D199" s="342">
        <f>1/0.0169*4*0.617*1.1</f>
        <v>160.63905325443793</v>
      </c>
      <c r="E199" s="343">
        <f>E188</f>
        <v>12669.369369369369</v>
      </c>
      <c r="F199" s="354">
        <f>D199*E199</f>
        <v>2035195.5008262708</v>
      </c>
    </row>
    <row r="200" spans="1:6" ht="12.75" customHeight="1">
      <c r="A200" s="340"/>
      <c r="B200" s="345" t="s">
        <v>446</v>
      </c>
      <c r="C200" s="341" t="s">
        <v>289</v>
      </c>
      <c r="D200" s="342">
        <f>1/0.0169*0.4*6.5*0.395*1.1</f>
        <v>66.846153846153868</v>
      </c>
      <c r="E200" s="343">
        <f>E160</f>
        <v>12038.738738738737</v>
      </c>
      <c r="F200" s="354">
        <f>D200*E200</f>
        <v>804743.38184338203</v>
      </c>
    </row>
    <row r="201" spans="1:6" ht="12.75" customHeight="1" thickBot="1">
      <c r="A201" s="340"/>
      <c r="B201" s="345" t="s">
        <v>447</v>
      </c>
      <c r="C201" s="341" t="s">
        <v>40</v>
      </c>
      <c r="D201" s="342">
        <f>1/0.0169*0.52</f>
        <v>30.769230769230774</v>
      </c>
      <c r="E201" s="343">
        <f>E184</f>
        <v>77896.969696969696</v>
      </c>
      <c r="F201" s="355">
        <f>D201*E201</f>
        <v>2396829.8368298369</v>
      </c>
    </row>
    <row r="202" spans="1:6" ht="12.75" customHeight="1">
      <c r="A202" s="340"/>
      <c r="B202" s="358" t="s">
        <v>448</v>
      </c>
      <c r="C202" s="362"/>
      <c r="D202" s="342"/>
      <c r="E202" s="343"/>
      <c r="F202" s="350">
        <f>SUM(F198:F201)</f>
        <v>6225580.2194994893</v>
      </c>
    </row>
    <row r="203" spans="1:6" ht="12.75" customHeight="1">
      <c r="A203" s="340">
        <v>33</v>
      </c>
      <c r="B203" s="450" t="s">
        <v>476</v>
      </c>
      <c r="C203" s="362" t="s">
        <v>37</v>
      </c>
      <c r="D203" s="342"/>
      <c r="E203" s="343"/>
      <c r="F203" s="354"/>
    </row>
    <row r="204" spans="1:6" ht="12.75" customHeight="1">
      <c r="A204" s="340"/>
      <c r="B204" s="345" t="s">
        <v>444</v>
      </c>
      <c r="C204" s="362" t="s">
        <v>37</v>
      </c>
      <c r="D204" s="342">
        <v>1</v>
      </c>
      <c r="E204" s="343">
        <f>Analisa!F36</f>
        <v>906700</v>
      </c>
      <c r="F204" s="354">
        <f>D204*E204</f>
        <v>906700</v>
      </c>
    </row>
    <row r="205" spans="1:6" ht="12.75" customHeight="1">
      <c r="A205" s="340"/>
      <c r="B205" s="345" t="s">
        <v>450</v>
      </c>
      <c r="C205" s="363" t="s">
        <v>289</v>
      </c>
      <c r="D205" s="342">
        <f>1/0.052*6*1.04*1.15</f>
        <v>138</v>
      </c>
      <c r="E205" s="343">
        <f>E199</f>
        <v>12669.369369369369</v>
      </c>
      <c r="F205" s="354">
        <f>D205*E205</f>
        <v>1748372.972972973</v>
      </c>
    </row>
    <row r="206" spans="1:6" ht="12.75" customHeight="1">
      <c r="A206" s="340"/>
      <c r="B206" s="345" t="s">
        <v>446</v>
      </c>
      <c r="C206" s="362" t="s">
        <v>289</v>
      </c>
      <c r="D206" s="342">
        <f>1/0.052*0.94*10.5*0.395*1.1</f>
        <v>82.471442307692314</v>
      </c>
      <c r="E206" s="343">
        <f>E200</f>
        <v>12038.738738738737</v>
      </c>
      <c r="F206" s="354">
        <f>D206*E206</f>
        <v>992852.14734927227</v>
      </c>
    </row>
    <row r="207" spans="1:6" ht="12.75" customHeight="1" thickBot="1">
      <c r="A207" s="340"/>
      <c r="B207" s="345" t="s">
        <v>447</v>
      </c>
      <c r="C207" s="362" t="s">
        <v>40</v>
      </c>
      <c r="D207" s="342">
        <f>1/0.052*1.06</f>
        <v>20.384615384615383</v>
      </c>
      <c r="E207" s="343">
        <f>Analisa!F61</f>
        <v>113096.9696969697</v>
      </c>
      <c r="F207" s="355">
        <f>D207*E207</f>
        <v>2305438.2284382284</v>
      </c>
    </row>
    <row r="208" spans="1:6" ht="12.75" customHeight="1">
      <c r="A208" s="340"/>
      <c r="B208" s="358" t="s">
        <v>448</v>
      </c>
      <c r="C208" s="362"/>
      <c r="D208" s="342"/>
      <c r="E208" s="343"/>
      <c r="F208" s="350">
        <f>SUM(F204:F207)</f>
        <v>5953363.3487604745</v>
      </c>
    </row>
    <row r="209" spans="1:6" ht="13.5" customHeight="1">
      <c r="A209" s="340">
        <v>34</v>
      </c>
      <c r="B209" s="450" t="s">
        <v>477</v>
      </c>
      <c r="C209" s="362" t="s">
        <v>37</v>
      </c>
      <c r="D209" s="353"/>
      <c r="E209" s="343"/>
      <c r="F209" s="354"/>
    </row>
    <row r="210" spans="1:6" ht="12.75" customHeight="1">
      <c r="A210" s="340"/>
      <c r="B210" s="345" t="s">
        <v>444</v>
      </c>
      <c r="C210" s="362" t="s">
        <v>37</v>
      </c>
      <c r="D210" s="342">
        <v>1</v>
      </c>
      <c r="E210" s="343">
        <f>E204</f>
        <v>906700</v>
      </c>
      <c r="F210" s="354">
        <f>D210*E210</f>
        <v>906700</v>
      </c>
    </row>
    <row r="211" spans="1:6" ht="12.75" customHeight="1">
      <c r="A211" s="340"/>
      <c r="B211" s="345" t="s">
        <v>450</v>
      </c>
      <c r="C211" s="363" t="s">
        <v>289</v>
      </c>
      <c r="D211" s="342">
        <f>1/0.104*10*1.04*1.15</f>
        <v>114.99999999999999</v>
      </c>
      <c r="E211" s="343">
        <f>E205</f>
        <v>12669.369369369369</v>
      </c>
      <c r="F211" s="354">
        <f>D211*E211</f>
        <v>1456977.4774774774</v>
      </c>
    </row>
    <row r="212" spans="1:6" ht="12.75" customHeight="1">
      <c r="A212" s="340"/>
      <c r="B212" s="345" t="s">
        <v>446</v>
      </c>
      <c r="C212" s="362" t="s">
        <v>289</v>
      </c>
      <c r="D212" s="342">
        <f>1/0.104*1.76*10.5*0.395*1.1</f>
        <v>77.207307692307708</v>
      </c>
      <c r="E212" s="343">
        <f>E206</f>
        <v>12038.738738738737</v>
      </c>
      <c r="F212" s="354">
        <f>D212*E212</f>
        <v>929478.60602910607</v>
      </c>
    </row>
    <row r="213" spans="1:6" ht="12.75" customHeight="1" thickBot="1">
      <c r="A213" s="340"/>
      <c r="B213" s="345" t="s">
        <v>447</v>
      </c>
      <c r="C213" s="362" t="s">
        <v>40</v>
      </c>
      <c r="D213" s="342">
        <f>1/0.104*1.86</f>
        <v>17.884615384615383</v>
      </c>
      <c r="E213" s="343">
        <f>E207</f>
        <v>113096.9696969697</v>
      </c>
      <c r="F213" s="355">
        <f>D213*E213</f>
        <v>2022695.8041958041</v>
      </c>
    </row>
    <row r="214" spans="1:6" ht="12.6" customHeight="1">
      <c r="A214" s="340"/>
      <c r="B214" s="358" t="s">
        <v>448</v>
      </c>
      <c r="C214" s="341"/>
      <c r="D214" s="342"/>
      <c r="E214" s="343"/>
      <c r="F214" s="350">
        <f>SUM(F210:F213)</f>
        <v>5315851.8877023868</v>
      </c>
    </row>
    <row r="215" spans="1:6" ht="13.5" customHeight="1">
      <c r="A215" s="340">
        <v>35</v>
      </c>
      <c r="B215" s="450" t="s">
        <v>478</v>
      </c>
      <c r="C215" s="362" t="s">
        <v>37</v>
      </c>
      <c r="D215" s="353"/>
      <c r="E215" s="343"/>
      <c r="F215" s="354"/>
    </row>
    <row r="216" spans="1:6" ht="12.75" customHeight="1">
      <c r="A216" s="340"/>
      <c r="B216" s="345" t="s">
        <v>444</v>
      </c>
      <c r="C216" s="362" t="s">
        <v>37</v>
      </c>
      <c r="D216" s="342">
        <v>1</v>
      </c>
      <c r="E216" s="343">
        <f>E210</f>
        <v>906700</v>
      </c>
      <c r="F216" s="354">
        <f>D216*E216</f>
        <v>906700</v>
      </c>
    </row>
    <row r="217" spans="1:6" ht="12.75" customHeight="1">
      <c r="A217" s="340"/>
      <c r="B217" s="345" t="s">
        <v>450</v>
      </c>
      <c r="C217" s="363" t="s">
        <v>289</v>
      </c>
      <c r="D217" s="342">
        <f>1/0.075*8*1.04*1.15</f>
        <v>127.57333333333332</v>
      </c>
      <c r="E217" s="343">
        <f>E211</f>
        <v>12669.369369369369</v>
      </c>
      <c r="F217" s="354">
        <f>D217*E217</f>
        <v>1616273.6816816817</v>
      </c>
    </row>
    <row r="218" spans="1:6" ht="12.75" customHeight="1">
      <c r="A218" s="340"/>
      <c r="B218" s="345" t="s">
        <v>446</v>
      </c>
      <c r="C218" s="362" t="s">
        <v>289</v>
      </c>
      <c r="D218" s="342">
        <f>1/0.075*1.2*10.5*0.395*1.1</f>
        <v>72.996000000000009</v>
      </c>
      <c r="E218" s="343">
        <f>E84</f>
        <v>12038.738738738737</v>
      </c>
      <c r="F218" s="354">
        <f>D218*E218</f>
        <v>878779.77297297295</v>
      </c>
    </row>
    <row r="219" spans="1:6" ht="12.75" customHeight="1" thickBot="1">
      <c r="A219" s="340"/>
      <c r="B219" s="345" t="s">
        <v>447</v>
      </c>
      <c r="C219" s="362" t="s">
        <v>40</v>
      </c>
      <c r="D219" s="342">
        <f>1/0.075*1.3</f>
        <v>17.333333333333336</v>
      </c>
      <c r="E219" s="343">
        <f>E213</f>
        <v>113096.9696969697</v>
      </c>
      <c r="F219" s="355">
        <f>D219*E219</f>
        <v>1960347.474747475</v>
      </c>
    </row>
    <row r="220" spans="1:6" ht="12.6" customHeight="1">
      <c r="A220" s="340"/>
      <c r="B220" s="358" t="s">
        <v>448</v>
      </c>
      <c r="C220" s="341"/>
      <c r="D220" s="342"/>
      <c r="E220" s="343"/>
      <c r="F220" s="350">
        <f>SUM(F216:F219)</f>
        <v>5362100.9294021297</v>
      </c>
    </row>
    <row r="221" spans="1:6" ht="12.75" customHeight="1">
      <c r="A221" s="340">
        <v>36</v>
      </c>
      <c r="B221" s="450" t="s">
        <v>479</v>
      </c>
      <c r="C221" s="362" t="s">
        <v>37</v>
      </c>
      <c r="D221" s="342"/>
      <c r="E221" s="343"/>
      <c r="F221" s="354"/>
    </row>
    <row r="222" spans="1:6" ht="12.75" customHeight="1">
      <c r="A222" s="340"/>
      <c r="B222" s="345" t="s">
        <v>444</v>
      </c>
      <c r="C222" s="362" t="s">
        <v>37</v>
      </c>
      <c r="D222" s="342">
        <v>1</v>
      </c>
      <c r="E222" s="343">
        <f>E216</f>
        <v>906700</v>
      </c>
      <c r="F222" s="354">
        <f>D222*E222</f>
        <v>906700</v>
      </c>
    </row>
    <row r="223" spans="1:6" ht="12.75" customHeight="1">
      <c r="A223" s="340"/>
      <c r="B223" s="345" t="s">
        <v>450</v>
      </c>
      <c r="C223" s="363" t="s">
        <v>289</v>
      </c>
      <c r="D223" s="342">
        <f>1/0.06*6*1.04*1.15</f>
        <v>119.6</v>
      </c>
      <c r="E223" s="343">
        <f t="shared" ref="E223:E225" si="18">E217</f>
        <v>12669.369369369369</v>
      </c>
      <c r="F223" s="354">
        <f>D223*E223</f>
        <v>1515256.5765765766</v>
      </c>
    </row>
    <row r="224" spans="1:6" ht="12.75" customHeight="1">
      <c r="A224" s="340"/>
      <c r="B224" s="345" t="s">
        <v>446</v>
      </c>
      <c r="C224" s="362" t="s">
        <v>289</v>
      </c>
      <c r="D224" s="342">
        <f>1/0.06*0.9*10.5*0.395*1.1</f>
        <v>68.433750000000018</v>
      </c>
      <c r="E224" s="343">
        <f t="shared" si="18"/>
        <v>12038.738738738737</v>
      </c>
      <c r="F224" s="354">
        <f>D224*E224</f>
        <v>823856.03716216225</v>
      </c>
    </row>
    <row r="225" spans="1:6" ht="12.75" customHeight="1" thickBot="1">
      <c r="A225" s="360"/>
      <c r="B225" s="345" t="s">
        <v>447</v>
      </c>
      <c r="C225" s="362" t="s">
        <v>40</v>
      </c>
      <c r="D225" s="342">
        <f>1/0.06*1</f>
        <v>16.666666666666668</v>
      </c>
      <c r="E225" s="343">
        <f t="shared" si="18"/>
        <v>113096.9696969697</v>
      </c>
      <c r="F225" s="355">
        <f>D225*E225</f>
        <v>1884949.494949495</v>
      </c>
    </row>
    <row r="226" spans="1:6" ht="12.75" customHeight="1">
      <c r="A226" s="340"/>
      <c r="B226" s="358" t="s">
        <v>448</v>
      </c>
      <c r="C226" s="341"/>
      <c r="D226" s="342"/>
      <c r="E226" s="343"/>
      <c r="F226" s="350">
        <f>SUM(F222:F225)</f>
        <v>5130762.1086882334</v>
      </c>
    </row>
    <row r="227" spans="1:6" ht="12.75" customHeight="1">
      <c r="A227" s="340">
        <v>37</v>
      </c>
      <c r="B227" s="450" t="s">
        <v>480</v>
      </c>
      <c r="C227" s="362" t="s">
        <v>37</v>
      </c>
      <c r="D227" s="342"/>
      <c r="E227" s="343"/>
      <c r="F227" s="354"/>
    </row>
    <row r="228" spans="1:6" ht="12.75" customHeight="1">
      <c r="A228" s="340"/>
      <c r="B228" s="345" t="s">
        <v>444</v>
      </c>
      <c r="C228" s="362" t="s">
        <v>37</v>
      </c>
      <c r="D228" s="342">
        <v>1</v>
      </c>
      <c r="E228" s="343">
        <f>E222</f>
        <v>906700</v>
      </c>
      <c r="F228" s="354">
        <f>D228*E228</f>
        <v>906700</v>
      </c>
    </row>
    <row r="229" spans="1:6" ht="12.75" customHeight="1">
      <c r="A229" s="340"/>
      <c r="B229" s="345" t="s">
        <v>473</v>
      </c>
      <c r="C229" s="363" t="s">
        <v>289</v>
      </c>
      <c r="D229" s="342">
        <f>1/0.096*6*1.578*1.15</f>
        <v>113.41874999999999</v>
      </c>
      <c r="E229" s="343">
        <f t="shared" ref="E229:E231" si="19">E223</f>
        <v>12669.369369369369</v>
      </c>
      <c r="F229" s="354">
        <f>D229*E229</f>
        <v>1436944.0371621621</v>
      </c>
    </row>
    <row r="230" spans="1:6" ht="12.75" customHeight="1">
      <c r="A230" s="340"/>
      <c r="B230" s="345" t="s">
        <v>446</v>
      </c>
      <c r="C230" s="362" t="s">
        <v>289</v>
      </c>
      <c r="D230" s="342">
        <f>359*0.395*1.1</f>
        <v>155.98550000000003</v>
      </c>
      <c r="E230" s="343">
        <f t="shared" si="19"/>
        <v>12038.738738738737</v>
      </c>
      <c r="F230" s="354">
        <f>D230*E230</f>
        <v>1877868.6815315317</v>
      </c>
    </row>
    <row r="231" spans="1:6" ht="12.75" customHeight="1" thickBot="1">
      <c r="A231" s="360"/>
      <c r="B231" s="345" t="s">
        <v>447</v>
      </c>
      <c r="C231" s="362" t="s">
        <v>40</v>
      </c>
      <c r="D231" s="342">
        <f>1/0.096*1.1</f>
        <v>11.458333333333334</v>
      </c>
      <c r="E231" s="343">
        <f t="shared" si="19"/>
        <v>113096.9696969697</v>
      </c>
      <c r="F231" s="355">
        <f>D231*E231</f>
        <v>1295902.7777777778</v>
      </c>
    </row>
    <row r="232" spans="1:6" ht="12.75" customHeight="1">
      <c r="A232" s="340"/>
      <c r="B232" s="358" t="s">
        <v>448</v>
      </c>
      <c r="C232" s="341"/>
      <c r="D232" s="342"/>
      <c r="E232" s="343"/>
      <c r="F232" s="350">
        <f>SUM(F228:F231)</f>
        <v>5517415.4964714721</v>
      </c>
    </row>
    <row r="233" spans="1:6" ht="12.75" customHeight="1">
      <c r="A233" s="340">
        <v>38</v>
      </c>
      <c r="B233" s="452" t="s">
        <v>481</v>
      </c>
      <c r="C233" s="362" t="s">
        <v>37</v>
      </c>
      <c r="D233" s="342"/>
      <c r="E233" s="343"/>
      <c r="F233" s="357"/>
    </row>
    <row r="234" spans="1:6" ht="12.75" customHeight="1">
      <c r="A234" s="340"/>
      <c r="B234" s="345" t="s">
        <v>444</v>
      </c>
      <c r="C234" s="362" t="s">
        <v>37</v>
      </c>
      <c r="D234" s="342">
        <v>1</v>
      </c>
      <c r="E234" s="343">
        <f>E228</f>
        <v>906700</v>
      </c>
      <c r="F234" s="354">
        <f>D234*E234</f>
        <v>906700</v>
      </c>
    </row>
    <row r="235" spans="1:6" ht="12.75" customHeight="1">
      <c r="A235" s="340"/>
      <c r="B235" s="345" t="s">
        <v>446</v>
      </c>
      <c r="C235" s="363" t="s">
        <v>289</v>
      </c>
      <c r="D235" s="342">
        <f>1/0.0195*4*0.617*1.1</f>
        <v>139.22051282051282</v>
      </c>
      <c r="E235" s="343">
        <f>E230</f>
        <v>12038.738738738737</v>
      </c>
      <c r="F235" s="354">
        <f>D235*E235</f>
        <v>1676039.3809193808</v>
      </c>
    </row>
    <row r="236" spans="1:6" ht="12.75" customHeight="1">
      <c r="A236" s="340"/>
      <c r="B236" s="345" t="s">
        <v>446</v>
      </c>
      <c r="C236" s="362" t="s">
        <v>289</v>
      </c>
      <c r="D236" s="342">
        <f>1/0.0195*0.45*6.5*0.395*1.1</f>
        <v>65.175000000000026</v>
      </c>
      <c r="E236" s="343">
        <f>E212</f>
        <v>12038.738738738737</v>
      </c>
      <c r="F236" s="354">
        <f>D236*E236</f>
        <v>784624.79729729751</v>
      </c>
    </row>
    <row r="237" spans="1:6" ht="12.75" customHeight="1" thickBot="1">
      <c r="A237" s="340"/>
      <c r="B237" s="345" t="s">
        <v>447</v>
      </c>
      <c r="C237" s="362" t="s">
        <v>40</v>
      </c>
      <c r="D237" s="342">
        <f>1/0.0195*0.58</f>
        <v>29.743589743589745</v>
      </c>
      <c r="E237" s="343">
        <f>E184</f>
        <v>77896.969696969696</v>
      </c>
      <c r="F237" s="355">
        <f>D237*E237</f>
        <v>2316935.5089355088</v>
      </c>
    </row>
    <row r="238" spans="1:6" ht="12.75" customHeight="1">
      <c r="A238" s="340"/>
      <c r="B238" s="358" t="s">
        <v>448</v>
      </c>
      <c r="C238" s="341"/>
      <c r="D238" s="342"/>
      <c r="E238" s="343"/>
      <c r="F238" s="350">
        <f>SUM(F234:F237)</f>
        <v>5684299.6871521873</v>
      </c>
    </row>
    <row r="239" spans="1:6" ht="12.75" customHeight="1">
      <c r="A239" s="340">
        <v>39</v>
      </c>
      <c r="B239" s="452" t="s">
        <v>482</v>
      </c>
      <c r="C239" s="362" t="s">
        <v>37</v>
      </c>
      <c r="D239" s="342"/>
      <c r="E239" s="343"/>
      <c r="F239" s="357"/>
    </row>
    <row r="240" spans="1:6" ht="12.75" customHeight="1">
      <c r="A240" s="340"/>
      <c r="B240" s="345" t="s">
        <v>444</v>
      </c>
      <c r="C240" s="362" t="s">
        <v>37</v>
      </c>
      <c r="D240" s="342">
        <v>1</v>
      </c>
      <c r="E240" s="343">
        <f>Analisa!F20</f>
        <v>988811.5</v>
      </c>
      <c r="F240" s="354">
        <f>D240*E240</f>
        <v>988811.5</v>
      </c>
    </row>
    <row r="241" spans="1:6" ht="12.75" customHeight="1">
      <c r="A241" s="340"/>
      <c r="B241" s="345" t="s">
        <v>446</v>
      </c>
      <c r="C241" s="363" t="s">
        <v>289</v>
      </c>
      <c r="D241" s="342">
        <f>1/0.0195*4*0.395*1.1</f>
        <v>89.128205128205153</v>
      </c>
      <c r="E241" s="343">
        <f>E236</f>
        <v>12038.738738738737</v>
      </c>
      <c r="F241" s="354">
        <f>D241*E241</f>
        <v>1072991.175791176</v>
      </c>
    </row>
    <row r="242" spans="1:6" ht="12.75" customHeight="1">
      <c r="A242" s="340"/>
      <c r="B242" s="345" t="s">
        <v>483</v>
      </c>
      <c r="C242" s="362" t="s">
        <v>289</v>
      </c>
      <c r="D242" s="342">
        <f>1/0.0195*0.4*6.5*0.222*1.1</f>
        <v>32.56</v>
      </c>
      <c r="E242" s="343">
        <f>Analisa!F78</f>
        <v>12450.450450450449</v>
      </c>
      <c r="F242" s="354">
        <f>D242*E242</f>
        <v>405386.66666666669</v>
      </c>
    </row>
    <row r="243" spans="1:6" ht="12.75" customHeight="1" thickBot="1">
      <c r="A243" s="340"/>
      <c r="B243" s="345" t="s">
        <v>447</v>
      </c>
      <c r="C243" s="362" t="s">
        <v>40</v>
      </c>
      <c r="D243" s="342">
        <f>1/0.0195*0.2</f>
        <v>10.256410256410257</v>
      </c>
      <c r="E243" s="343">
        <f>E237</f>
        <v>77896.969696969696</v>
      </c>
      <c r="F243" s="355">
        <f>D243*E243</f>
        <v>798943.27894327906</v>
      </c>
    </row>
    <row r="244" spans="1:6" ht="12.75" customHeight="1">
      <c r="A244" s="340"/>
      <c r="B244" s="358" t="s">
        <v>448</v>
      </c>
      <c r="C244" s="341"/>
      <c r="D244" s="342"/>
      <c r="E244" s="343"/>
      <c r="F244" s="350">
        <f>SUM(F240:F243)</f>
        <v>3266132.6214011218</v>
      </c>
    </row>
    <row r="245" spans="1:6" ht="13.5" customHeight="1">
      <c r="A245" s="340">
        <v>40</v>
      </c>
      <c r="B245" s="452" t="s">
        <v>484</v>
      </c>
      <c r="C245" s="341" t="s">
        <v>37</v>
      </c>
      <c r="D245" s="353"/>
      <c r="E245" s="343"/>
      <c r="F245" s="354"/>
    </row>
    <row r="246" spans="1:6" ht="12.75" customHeight="1">
      <c r="A246" s="340"/>
      <c r="B246" s="345" t="s">
        <v>475</v>
      </c>
      <c r="C246" s="341" t="s">
        <v>37</v>
      </c>
      <c r="D246" s="342">
        <v>1</v>
      </c>
      <c r="E246" s="343">
        <f>Analisa!F42</f>
        <v>960450</v>
      </c>
      <c r="F246" s="354">
        <f>D246*E246</f>
        <v>960450</v>
      </c>
    </row>
    <row r="247" spans="1:6" ht="12.75" customHeight="1">
      <c r="A247" s="340"/>
      <c r="B247" s="345" t="s">
        <v>445</v>
      </c>
      <c r="C247" s="341" t="s">
        <v>289</v>
      </c>
      <c r="D247" s="342">
        <f>1/0.026*4*0.617*1.15</f>
        <v>109.16153846153846</v>
      </c>
      <c r="E247" s="343">
        <f>E229</f>
        <v>12669.369369369369</v>
      </c>
      <c r="F247" s="354">
        <f>D247*E247</f>
        <v>1383007.8516978517</v>
      </c>
    </row>
    <row r="248" spans="1:6" ht="12.75" customHeight="1">
      <c r="A248" s="340"/>
      <c r="B248" s="345" t="s">
        <v>446</v>
      </c>
      <c r="C248" s="352" t="s">
        <v>289</v>
      </c>
      <c r="D248" s="342">
        <f>1/0.026*0.5*5.5*0.395*1.1</f>
        <v>45.956730769230774</v>
      </c>
      <c r="E248" s="343">
        <f>E241</f>
        <v>12038.738738738737</v>
      </c>
      <c r="F248" s="354">
        <f>D248*E248</f>
        <v>553261.075017325</v>
      </c>
    </row>
    <row r="249" spans="1:6" ht="12.75" customHeight="1" thickBot="1">
      <c r="A249" s="340"/>
      <c r="B249" s="345" t="s">
        <v>447</v>
      </c>
      <c r="C249" s="362" t="s">
        <v>40</v>
      </c>
      <c r="D249" s="342">
        <f>1/0.026*0.25</f>
        <v>9.615384615384615</v>
      </c>
      <c r="E249" s="343">
        <f>Analisa!F61</f>
        <v>113096.9696969697</v>
      </c>
      <c r="F249" s="355">
        <f>D249*E249</f>
        <v>1087470.8624708625</v>
      </c>
    </row>
    <row r="250" spans="1:6" ht="12.75" customHeight="1">
      <c r="A250" s="340"/>
      <c r="B250" s="358" t="s">
        <v>448</v>
      </c>
      <c r="C250" s="363"/>
      <c r="D250" s="353"/>
      <c r="E250" s="343"/>
      <c r="F250" s="350">
        <f>SUM(F246:F249)</f>
        <v>3984189.7891860395</v>
      </c>
    </row>
    <row r="251" spans="1:6" ht="12.75" customHeight="1">
      <c r="A251" s="340">
        <v>41</v>
      </c>
      <c r="B251" s="452" t="s">
        <v>485</v>
      </c>
      <c r="C251" s="341" t="s">
        <v>37</v>
      </c>
      <c r="D251" s="353"/>
      <c r="E251" s="343"/>
      <c r="F251" s="354">
        <f>D251*E251</f>
        <v>0</v>
      </c>
    </row>
    <row r="252" spans="1:6" ht="12.75" customHeight="1">
      <c r="A252" s="340"/>
      <c r="B252" s="345" t="s">
        <v>475</v>
      </c>
      <c r="C252" s="341" t="s">
        <v>37</v>
      </c>
      <c r="D252" s="353">
        <v>1</v>
      </c>
      <c r="E252" s="343">
        <f>E246</f>
        <v>960450</v>
      </c>
      <c r="F252" s="354">
        <f>D252*E252</f>
        <v>960450</v>
      </c>
    </row>
    <row r="253" spans="1:6" ht="12.75" customHeight="1">
      <c r="A253" s="340"/>
      <c r="B253" s="345" t="s">
        <v>450</v>
      </c>
      <c r="C253" s="341" t="s">
        <v>289</v>
      </c>
      <c r="D253" s="342">
        <f>1/0.026*4*1.04*1.15</f>
        <v>184</v>
      </c>
      <c r="E253" s="343">
        <f t="shared" ref="E253:E255" si="20">E247</f>
        <v>12669.369369369369</v>
      </c>
      <c r="F253" s="354">
        <f>D253*E253</f>
        <v>2331163.963963964</v>
      </c>
    </row>
    <row r="254" spans="1:6" ht="12.75" customHeight="1">
      <c r="A254" s="340"/>
      <c r="B254" s="345" t="s">
        <v>446</v>
      </c>
      <c r="C254" s="352" t="s">
        <v>289</v>
      </c>
      <c r="D254" s="342">
        <f>1/0.026*0.5*5.5*0.395*1.1</f>
        <v>45.956730769230774</v>
      </c>
      <c r="E254" s="343">
        <f t="shared" si="20"/>
        <v>12038.738738738737</v>
      </c>
      <c r="F254" s="354">
        <f>D254*E254</f>
        <v>553261.075017325</v>
      </c>
    </row>
    <row r="255" spans="1:6" ht="12.75" customHeight="1" thickBot="1">
      <c r="A255" s="340"/>
      <c r="B255" s="345" t="s">
        <v>447</v>
      </c>
      <c r="C255" s="362" t="s">
        <v>40</v>
      </c>
      <c r="D255" s="342">
        <f>1/0.026*0.25</f>
        <v>9.615384615384615</v>
      </c>
      <c r="E255" s="343">
        <f t="shared" si="20"/>
        <v>113096.9696969697</v>
      </c>
      <c r="F255" s="355">
        <f>D255*E255</f>
        <v>1087470.8624708625</v>
      </c>
    </row>
    <row r="256" spans="1:6" ht="12.75" customHeight="1">
      <c r="A256" s="340"/>
      <c r="B256" s="358" t="s">
        <v>448</v>
      </c>
      <c r="C256" s="352"/>
      <c r="D256" s="353"/>
      <c r="E256" s="343"/>
      <c r="F256" s="350">
        <f>SUM(F252:F255)</f>
        <v>4932345.9014521521</v>
      </c>
    </row>
    <row r="257" spans="1:6" ht="12.75" customHeight="1">
      <c r="A257" s="340">
        <v>42</v>
      </c>
      <c r="B257" s="452" t="s">
        <v>486</v>
      </c>
      <c r="C257" s="341" t="s">
        <v>37</v>
      </c>
      <c r="D257" s="353"/>
      <c r="E257" s="343"/>
      <c r="F257" s="357"/>
    </row>
    <row r="258" spans="1:6" ht="12.75" customHeight="1">
      <c r="A258" s="340"/>
      <c r="B258" s="345" t="s">
        <v>444</v>
      </c>
      <c r="C258" s="341" t="s">
        <v>37</v>
      </c>
      <c r="D258" s="342">
        <v>1</v>
      </c>
      <c r="E258" s="343">
        <f>E252</f>
        <v>960450</v>
      </c>
      <c r="F258" s="354">
        <f>D258*E258</f>
        <v>960450</v>
      </c>
    </row>
    <row r="259" spans="1:6" ht="12.75" customHeight="1">
      <c r="A259" s="340"/>
      <c r="B259" s="345" t="s">
        <v>445</v>
      </c>
      <c r="C259" s="341" t="s">
        <v>289</v>
      </c>
      <c r="D259" s="342">
        <f>1/0.039*4*0.617*1.15</f>
        <v>72.774358974358975</v>
      </c>
      <c r="E259" s="343">
        <f>E253</f>
        <v>12669.369369369369</v>
      </c>
      <c r="F259" s="354">
        <f>D259*E259</f>
        <v>922005.23446523445</v>
      </c>
    </row>
    <row r="260" spans="1:6" ht="12.75" customHeight="1">
      <c r="A260" s="340"/>
      <c r="B260" s="345" t="s">
        <v>446</v>
      </c>
      <c r="C260" s="352" t="s">
        <v>289</v>
      </c>
      <c r="D260" s="342">
        <f>1/0.039*0.75*5.5*0.395*1.1</f>
        <v>45.956730769230781</v>
      </c>
      <c r="E260" s="343">
        <f t="shared" ref="E260:E261" si="21">E254</f>
        <v>12038.738738738737</v>
      </c>
      <c r="F260" s="354">
        <f>D260*E260</f>
        <v>553261.07501732511</v>
      </c>
    </row>
    <row r="261" spans="1:6" ht="12.75" customHeight="1" thickBot="1">
      <c r="A261" s="340"/>
      <c r="B261" s="345" t="s">
        <v>447</v>
      </c>
      <c r="C261" s="362" t="s">
        <v>40</v>
      </c>
      <c r="D261" s="342">
        <f>1/0.039*0.55</f>
        <v>14.102564102564104</v>
      </c>
      <c r="E261" s="343">
        <f t="shared" si="21"/>
        <v>113096.9696969697</v>
      </c>
      <c r="F261" s="355">
        <f>D261*E261</f>
        <v>1594957.264957265</v>
      </c>
    </row>
    <row r="262" spans="1:6" ht="12.75" customHeight="1">
      <c r="A262" s="340"/>
      <c r="B262" s="358" t="s">
        <v>448</v>
      </c>
      <c r="C262" s="363"/>
      <c r="D262" s="353"/>
      <c r="E262" s="343"/>
      <c r="F262" s="350">
        <f>SUM(F258:F261)</f>
        <v>4030673.5744398246</v>
      </c>
    </row>
    <row r="263" spans="1:6" ht="12.75" customHeight="1">
      <c r="A263" s="340">
        <v>43</v>
      </c>
      <c r="B263" s="452" t="s">
        <v>487</v>
      </c>
      <c r="C263" s="341" t="s">
        <v>37</v>
      </c>
      <c r="D263" s="353"/>
      <c r="E263" s="343"/>
      <c r="F263" s="357"/>
    </row>
    <row r="264" spans="1:6" ht="12.75" customHeight="1">
      <c r="A264" s="340"/>
      <c r="B264" s="345" t="s">
        <v>444</v>
      </c>
      <c r="C264" s="341" t="s">
        <v>37</v>
      </c>
      <c r="D264" s="342">
        <v>1</v>
      </c>
      <c r="E264" s="343">
        <f>E258</f>
        <v>960450</v>
      </c>
      <c r="F264" s="354">
        <f>D264*E264</f>
        <v>960450</v>
      </c>
    </row>
    <row r="265" spans="1:6" ht="12.75" customHeight="1">
      <c r="A265" s="340"/>
      <c r="B265" s="345" t="s">
        <v>450</v>
      </c>
      <c r="C265" s="341" t="s">
        <v>289</v>
      </c>
      <c r="D265" s="342">
        <f>1/0.039*4*1.04*1.15</f>
        <v>122.66666666666666</v>
      </c>
      <c r="E265" s="343">
        <f t="shared" ref="E265:E267" si="22">E259</f>
        <v>12669.369369369369</v>
      </c>
      <c r="F265" s="354">
        <f>D265*E265</f>
        <v>1554109.3093093091</v>
      </c>
    </row>
    <row r="266" spans="1:6" ht="12.75" customHeight="1">
      <c r="A266" s="340"/>
      <c r="B266" s="345" t="s">
        <v>446</v>
      </c>
      <c r="C266" s="352" t="s">
        <v>289</v>
      </c>
      <c r="D266" s="342">
        <f>1/0.039*0.75*5.5*0.395*1.1</f>
        <v>45.956730769230781</v>
      </c>
      <c r="E266" s="343">
        <f t="shared" si="22"/>
        <v>12038.738738738737</v>
      </c>
      <c r="F266" s="354">
        <f>D266*E266</f>
        <v>553261.07501732511</v>
      </c>
    </row>
    <row r="267" spans="1:6" ht="12.75" customHeight="1" thickBot="1">
      <c r="A267" s="340"/>
      <c r="B267" s="345" t="s">
        <v>447</v>
      </c>
      <c r="C267" s="362" t="s">
        <v>40</v>
      </c>
      <c r="D267" s="342">
        <f>1/0.039*0.55</f>
        <v>14.102564102564104</v>
      </c>
      <c r="E267" s="343">
        <f t="shared" si="22"/>
        <v>113096.9696969697</v>
      </c>
      <c r="F267" s="355">
        <f>D267*E267</f>
        <v>1594957.264957265</v>
      </c>
    </row>
    <row r="268" spans="1:6" ht="12.75" customHeight="1">
      <c r="A268" s="340"/>
      <c r="B268" s="358" t="s">
        <v>448</v>
      </c>
      <c r="C268" s="363"/>
      <c r="D268" s="353"/>
      <c r="E268" s="343"/>
      <c r="F268" s="350">
        <f>SUM(F264:F267)</f>
        <v>4662777.649283899</v>
      </c>
    </row>
    <row r="269" spans="1:6" ht="12.75" customHeight="1">
      <c r="A269" s="340">
        <v>44</v>
      </c>
      <c r="B269" s="452" t="s">
        <v>488</v>
      </c>
      <c r="C269" s="341" t="s">
        <v>37</v>
      </c>
      <c r="D269" s="353"/>
      <c r="E269" s="343"/>
      <c r="F269" s="357"/>
    </row>
    <row r="270" spans="1:6" ht="12.75" customHeight="1">
      <c r="A270" s="340"/>
      <c r="B270" s="345" t="s">
        <v>444</v>
      </c>
      <c r="C270" s="341" t="s">
        <v>37</v>
      </c>
      <c r="D270" s="342">
        <v>1</v>
      </c>
      <c r="E270" s="343">
        <f>E264</f>
        <v>960450</v>
      </c>
      <c r="F270" s="354">
        <f>D270*E270</f>
        <v>960450</v>
      </c>
    </row>
    <row r="271" spans="1:6" ht="12.75" customHeight="1">
      <c r="A271" s="340"/>
      <c r="B271" s="345" t="s">
        <v>450</v>
      </c>
      <c r="C271" s="341" t="s">
        <v>289</v>
      </c>
      <c r="D271" s="342">
        <f>1/0.039*4.75*1.04*1.15</f>
        <v>145.66666666666666</v>
      </c>
      <c r="E271" s="343">
        <f t="shared" ref="E271:E273" si="23">E265</f>
        <v>12669.369369369369</v>
      </c>
      <c r="F271" s="354">
        <f>D271*E271</f>
        <v>1845504.8048048047</v>
      </c>
    </row>
    <row r="272" spans="1:6" ht="12.75" customHeight="1">
      <c r="A272" s="340"/>
      <c r="B272" s="345" t="s">
        <v>446</v>
      </c>
      <c r="C272" s="352" t="s">
        <v>289</v>
      </c>
      <c r="D272" s="342">
        <f>1/0.039*0.75*5.5*0.395*1.1</f>
        <v>45.956730769230781</v>
      </c>
      <c r="E272" s="343">
        <f t="shared" si="23"/>
        <v>12038.738738738737</v>
      </c>
      <c r="F272" s="354">
        <f>D272*E272</f>
        <v>553261.07501732511</v>
      </c>
    </row>
    <row r="273" spans="1:6" ht="12.75" customHeight="1" thickBot="1">
      <c r="A273" s="340"/>
      <c r="B273" s="345" t="s">
        <v>447</v>
      </c>
      <c r="C273" s="362" t="s">
        <v>40</v>
      </c>
      <c r="D273" s="342">
        <f>1/0.039*0.55</f>
        <v>14.102564102564104</v>
      </c>
      <c r="E273" s="343">
        <f t="shared" si="23"/>
        <v>113096.9696969697</v>
      </c>
      <c r="F273" s="355">
        <f>D273*E273</f>
        <v>1594957.264957265</v>
      </c>
    </row>
    <row r="274" spans="1:6" ht="12.75" customHeight="1">
      <c r="A274" s="340"/>
      <c r="B274" s="358" t="s">
        <v>448</v>
      </c>
      <c r="C274" s="363"/>
      <c r="D274" s="353"/>
      <c r="E274" s="343"/>
      <c r="F274" s="350">
        <f>SUM(F270:F273)</f>
        <v>4954173.1447793953</v>
      </c>
    </row>
    <row r="275" spans="1:6" ht="12.75" customHeight="1">
      <c r="A275" s="340">
        <v>45</v>
      </c>
      <c r="B275" s="452" t="s">
        <v>489</v>
      </c>
      <c r="C275" s="341" t="s">
        <v>37</v>
      </c>
      <c r="D275" s="353"/>
      <c r="E275" s="343"/>
      <c r="F275" s="357"/>
    </row>
    <row r="276" spans="1:6" ht="12.75" customHeight="1">
      <c r="A276" s="340"/>
      <c r="B276" s="345" t="s">
        <v>444</v>
      </c>
      <c r="C276" s="341" t="s">
        <v>37</v>
      </c>
      <c r="D276" s="342">
        <v>1</v>
      </c>
      <c r="E276" s="343">
        <f>E270</f>
        <v>960450</v>
      </c>
      <c r="F276" s="354">
        <f>D276*E276</f>
        <v>960450</v>
      </c>
    </row>
    <row r="277" spans="1:6" ht="12.75" customHeight="1">
      <c r="A277" s="340"/>
      <c r="B277" s="345" t="s">
        <v>450</v>
      </c>
      <c r="C277" s="341" t="s">
        <v>289</v>
      </c>
      <c r="D277" s="342">
        <f>1/0.039*4.75*1.04*1.15</f>
        <v>145.66666666666666</v>
      </c>
      <c r="E277" s="343">
        <f t="shared" ref="E277:E279" si="24">E271</f>
        <v>12669.369369369369</v>
      </c>
      <c r="F277" s="354">
        <f>D277*E277</f>
        <v>1845504.8048048047</v>
      </c>
    </row>
    <row r="278" spans="1:6" ht="12.75" customHeight="1">
      <c r="A278" s="340"/>
      <c r="B278" s="345" t="s">
        <v>446</v>
      </c>
      <c r="C278" s="352" t="s">
        <v>289</v>
      </c>
      <c r="D278" s="342">
        <f>1/0.039*0.75*5.5*0.395*1.1</f>
        <v>45.956730769230781</v>
      </c>
      <c r="E278" s="343">
        <f t="shared" si="24"/>
        <v>12038.738738738737</v>
      </c>
      <c r="F278" s="354">
        <f>D278*E278</f>
        <v>553261.07501732511</v>
      </c>
    </row>
    <row r="279" spans="1:6" ht="12.75" customHeight="1" thickBot="1">
      <c r="A279" s="340"/>
      <c r="B279" s="345" t="s">
        <v>447</v>
      </c>
      <c r="C279" s="362" t="s">
        <v>40</v>
      </c>
      <c r="D279" s="342">
        <f>1/0.039*0.55</f>
        <v>14.102564102564104</v>
      </c>
      <c r="E279" s="343">
        <f t="shared" si="24"/>
        <v>113096.9696969697</v>
      </c>
      <c r="F279" s="355">
        <f>D279*E279</f>
        <v>1594957.264957265</v>
      </c>
    </row>
    <row r="280" spans="1:6" ht="12.75" customHeight="1">
      <c r="A280" s="340"/>
      <c r="B280" s="358" t="s">
        <v>448</v>
      </c>
      <c r="C280" s="363"/>
      <c r="D280" s="353"/>
      <c r="E280" s="343"/>
      <c r="F280" s="350">
        <f>SUM(F276:F279)</f>
        <v>4954173.1447793953</v>
      </c>
    </row>
    <row r="281" spans="1:6" ht="12.75" customHeight="1">
      <c r="A281" s="340">
        <v>46</v>
      </c>
      <c r="B281" s="452" t="s">
        <v>490</v>
      </c>
      <c r="C281" s="341" t="s">
        <v>37</v>
      </c>
      <c r="D281" s="353"/>
      <c r="E281" s="343"/>
      <c r="F281" s="357"/>
    </row>
    <row r="282" spans="1:6" ht="12.75" customHeight="1">
      <c r="A282" s="340"/>
      <c r="B282" s="345" t="s">
        <v>444</v>
      </c>
      <c r="C282" s="341" t="s">
        <v>37</v>
      </c>
      <c r="D282" s="342">
        <v>1</v>
      </c>
      <c r="E282" s="343">
        <f>E276</f>
        <v>960450</v>
      </c>
      <c r="F282" s="354">
        <f>D282*E282</f>
        <v>960450</v>
      </c>
    </row>
    <row r="283" spans="1:6" ht="12.75" customHeight="1">
      <c r="A283" s="340"/>
      <c r="B283" s="345" t="s">
        <v>450</v>
      </c>
      <c r="C283" s="341" t="s">
        <v>289</v>
      </c>
      <c r="D283" s="342">
        <f>1/0.039*5*1.04*1.15</f>
        <v>153.33333333333334</v>
      </c>
      <c r="E283" s="343">
        <f t="shared" ref="E283:E285" si="25">E277</f>
        <v>12669.369369369369</v>
      </c>
      <c r="F283" s="354">
        <f>D283*E283</f>
        <v>1942636.6366366367</v>
      </c>
    </row>
    <row r="284" spans="1:6" ht="12.75" customHeight="1">
      <c r="A284" s="340"/>
      <c r="B284" s="345" t="s">
        <v>446</v>
      </c>
      <c r="C284" s="352" t="s">
        <v>289</v>
      </c>
      <c r="D284" s="342">
        <f>1/0.039*0.75*5.5*0.395*1.1</f>
        <v>45.956730769230781</v>
      </c>
      <c r="E284" s="343">
        <f t="shared" si="25"/>
        <v>12038.738738738737</v>
      </c>
      <c r="F284" s="354">
        <f>D284*E284</f>
        <v>553261.07501732511</v>
      </c>
    </row>
    <row r="285" spans="1:6" ht="12.75" customHeight="1" thickBot="1">
      <c r="A285" s="340"/>
      <c r="B285" s="345" t="s">
        <v>447</v>
      </c>
      <c r="C285" s="362" t="s">
        <v>40</v>
      </c>
      <c r="D285" s="342">
        <f>1/0.039*0.55</f>
        <v>14.102564102564104</v>
      </c>
      <c r="E285" s="343">
        <f t="shared" si="25"/>
        <v>113096.9696969697</v>
      </c>
      <c r="F285" s="355">
        <f>D285*E285</f>
        <v>1594957.264957265</v>
      </c>
    </row>
    <row r="286" spans="1:6" ht="12.75" customHeight="1">
      <c r="A286" s="340"/>
      <c r="B286" s="358" t="s">
        <v>448</v>
      </c>
      <c r="C286" s="363"/>
      <c r="D286" s="353"/>
      <c r="E286" s="343"/>
      <c r="F286" s="350">
        <f>SUM(F282:F285)</f>
        <v>5051304.9766112268</v>
      </c>
    </row>
    <row r="287" spans="1:6" ht="12.75" customHeight="1">
      <c r="A287" s="340">
        <v>47</v>
      </c>
      <c r="B287" s="452" t="s">
        <v>491</v>
      </c>
      <c r="C287" s="341" t="s">
        <v>37</v>
      </c>
      <c r="D287" s="353"/>
      <c r="E287" s="343"/>
      <c r="F287" s="357"/>
    </row>
    <row r="288" spans="1:6" ht="12.75" customHeight="1">
      <c r="A288" s="340"/>
      <c r="B288" s="345" t="s">
        <v>444</v>
      </c>
      <c r="C288" s="341" t="s">
        <v>37</v>
      </c>
      <c r="D288" s="342">
        <v>1</v>
      </c>
      <c r="E288" s="343">
        <f>E270</f>
        <v>960450</v>
      </c>
      <c r="F288" s="354">
        <f>D288*E288</f>
        <v>960450</v>
      </c>
    </row>
    <row r="289" spans="1:6" ht="12.75" customHeight="1">
      <c r="A289" s="340"/>
      <c r="B289" s="345" t="s">
        <v>445</v>
      </c>
      <c r="C289" s="341" t="s">
        <v>289</v>
      </c>
      <c r="D289" s="342">
        <f>1/0.052*4*0.617*1.15</f>
        <v>54.580769230769228</v>
      </c>
      <c r="E289" s="343">
        <f>E271</f>
        <v>12669.369369369369</v>
      </c>
      <c r="F289" s="354">
        <f>D289*E289</f>
        <v>691503.92584892584</v>
      </c>
    </row>
    <row r="290" spans="1:6" ht="12.75" customHeight="1">
      <c r="A290" s="340"/>
      <c r="B290" s="345" t="s">
        <v>446</v>
      </c>
      <c r="C290" s="352" t="s">
        <v>289</v>
      </c>
      <c r="D290" s="342">
        <f>1/0.052*0.95*5.5*0.395*1.1</f>
        <v>43.658894230769228</v>
      </c>
      <c r="E290" s="343">
        <f>E272</f>
        <v>12038.738738738737</v>
      </c>
      <c r="F290" s="354">
        <f>D290*E290</f>
        <v>525598.02126645867</v>
      </c>
    </row>
    <row r="291" spans="1:6" ht="12.75" customHeight="1" thickBot="1">
      <c r="A291" s="340"/>
      <c r="B291" s="345" t="s">
        <v>447</v>
      </c>
      <c r="C291" s="362" t="s">
        <v>40</v>
      </c>
      <c r="D291" s="342">
        <f>1/0.052*0.75</f>
        <v>14.423076923076923</v>
      </c>
      <c r="E291" s="343">
        <f>E273</f>
        <v>113096.9696969697</v>
      </c>
      <c r="F291" s="355">
        <f>D291*E291</f>
        <v>1631206.2937062937</v>
      </c>
    </row>
    <row r="292" spans="1:6" ht="12.75" customHeight="1">
      <c r="A292" s="340"/>
      <c r="B292" s="358" t="s">
        <v>448</v>
      </c>
      <c r="C292" s="363"/>
      <c r="D292" s="353"/>
      <c r="E292" s="343"/>
      <c r="F292" s="350">
        <f>SUM(F288:F291)</f>
        <v>3808758.2408216782</v>
      </c>
    </row>
    <row r="293" spans="1:6" ht="12.75" customHeight="1">
      <c r="A293" s="340">
        <v>48</v>
      </c>
      <c r="B293" s="452" t="s">
        <v>492</v>
      </c>
      <c r="C293" s="341" t="s">
        <v>37</v>
      </c>
      <c r="D293" s="353"/>
      <c r="E293" s="343"/>
      <c r="F293" s="357"/>
    </row>
    <row r="294" spans="1:6" ht="12.75" customHeight="1">
      <c r="A294" s="340"/>
      <c r="B294" s="345" t="s">
        <v>444</v>
      </c>
      <c r="C294" s="341" t="s">
        <v>37</v>
      </c>
      <c r="D294" s="342">
        <v>1</v>
      </c>
      <c r="E294" s="343">
        <f>E288</f>
        <v>960450</v>
      </c>
      <c r="F294" s="354">
        <f>D294*E294</f>
        <v>960450</v>
      </c>
    </row>
    <row r="295" spans="1:6" ht="12.75" customHeight="1">
      <c r="A295" s="340"/>
      <c r="B295" s="345" t="s">
        <v>450</v>
      </c>
      <c r="C295" s="341" t="s">
        <v>289</v>
      </c>
      <c r="D295" s="342">
        <f>1/0.052*4*1.04*1.15</f>
        <v>92</v>
      </c>
      <c r="E295" s="343">
        <f t="shared" ref="E295:E297" si="26">E289</f>
        <v>12669.369369369369</v>
      </c>
      <c r="F295" s="354">
        <f>D295*E295</f>
        <v>1165581.981981982</v>
      </c>
    </row>
    <row r="296" spans="1:6" ht="12.75" customHeight="1">
      <c r="A296" s="340"/>
      <c r="B296" s="345" t="s">
        <v>446</v>
      </c>
      <c r="C296" s="352" t="s">
        <v>289</v>
      </c>
      <c r="D296" s="342">
        <f>1/0.052*0.95*5.5*0.395*1.1</f>
        <v>43.658894230769228</v>
      </c>
      <c r="E296" s="343">
        <f t="shared" si="26"/>
        <v>12038.738738738737</v>
      </c>
      <c r="F296" s="354">
        <f>D296*E296</f>
        <v>525598.02126645867</v>
      </c>
    </row>
    <row r="297" spans="1:6" ht="12.75" customHeight="1" thickBot="1">
      <c r="A297" s="340"/>
      <c r="B297" s="345" t="s">
        <v>447</v>
      </c>
      <c r="C297" s="362" t="s">
        <v>40</v>
      </c>
      <c r="D297" s="342">
        <f>1/0.052*0.75</f>
        <v>14.423076923076923</v>
      </c>
      <c r="E297" s="343">
        <f t="shared" si="26"/>
        <v>113096.9696969697</v>
      </c>
      <c r="F297" s="355">
        <f>D297*E297</f>
        <v>1631206.2937062937</v>
      </c>
    </row>
    <row r="298" spans="1:6" ht="12.75" customHeight="1">
      <c r="A298" s="340"/>
      <c r="B298" s="358" t="s">
        <v>448</v>
      </c>
      <c r="C298" s="363"/>
      <c r="D298" s="353"/>
      <c r="E298" s="343"/>
      <c r="F298" s="350">
        <f>SUM(F294:F297)</f>
        <v>4282836.2969547343</v>
      </c>
    </row>
    <row r="299" spans="1:6" ht="12.75" customHeight="1">
      <c r="A299" s="340">
        <v>49</v>
      </c>
      <c r="B299" s="452" t="s">
        <v>493</v>
      </c>
      <c r="C299" s="341" t="s">
        <v>37</v>
      </c>
      <c r="D299" s="353"/>
      <c r="E299" s="343"/>
      <c r="F299" s="364"/>
    </row>
    <row r="300" spans="1:6" ht="12.75" customHeight="1">
      <c r="A300" s="340"/>
      <c r="B300" s="345" t="s">
        <v>444</v>
      </c>
      <c r="C300" s="341" t="s">
        <v>37</v>
      </c>
      <c r="D300" s="342">
        <v>1</v>
      </c>
      <c r="E300" s="343">
        <f>E294</f>
        <v>960450</v>
      </c>
      <c r="F300" s="354">
        <f t="shared" ref="F300:F303" si="27">D300*E300</f>
        <v>960450</v>
      </c>
    </row>
    <row r="301" spans="1:6" ht="12.75" customHeight="1">
      <c r="A301" s="340"/>
      <c r="B301" s="345" t="s">
        <v>450</v>
      </c>
      <c r="C301" s="341" t="s">
        <v>289</v>
      </c>
      <c r="D301" s="342">
        <f>1/0.052*4*1.04*1.15</f>
        <v>92</v>
      </c>
      <c r="E301" s="343">
        <f t="shared" ref="E301:E303" si="28">E295</f>
        <v>12669.369369369369</v>
      </c>
      <c r="F301" s="354">
        <f t="shared" si="27"/>
        <v>1165581.981981982</v>
      </c>
    </row>
    <row r="302" spans="1:6" ht="12.75" customHeight="1">
      <c r="A302" s="340"/>
      <c r="B302" s="345" t="s">
        <v>446</v>
      </c>
      <c r="C302" s="352" t="s">
        <v>289</v>
      </c>
      <c r="D302" s="342">
        <f>1/0.052*0.95*6*0.395*1.1</f>
        <v>47.627884615384616</v>
      </c>
      <c r="E302" s="343">
        <f t="shared" si="28"/>
        <v>12038.738738738737</v>
      </c>
      <c r="F302" s="354">
        <f t="shared" si="27"/>
        <v>573379.65956340951</v>
      </c>
    </row>
    <row r="303" spans="1:6" ht="12.75" customHeight="1" thickBot="1">
      <c r="A303" s="340"/>
      <c r="B303" s="345" t="s">
        <v>447</v>
      </c>
      <c r="C303" s="362" t="s">
        <v>40</v>
      </c>
      <c r="D303" s="342">
        <f>1/0.052*0.75</f>
        <v>14.423076923076923</v>
      </c>
      <c r="E303" s="343">
        <f t="shared" si="28"/>
        <v>113096.9696969697</v>
      </c>
      <c r="F303" s="365">
        <f t="shared" si="27"/>
        <v>1631206.2937062937</v>
      </c>
    </row>
    <row r="304" spans="1:6" ht="12.75" customHeight="1">
      <c r="A304" s="340"/>
      <c r="B304" s="358" t="s">
        <v>448</v>
      </c>
      <c r="C304" s="363"/>
      <c r="D304" s="353"/>
      <c r="E304" s="343"/>
      <c r="F304" s="364">
        <f>SUM(F300:F303)</f>
        <v>4330617.9352516849</v>
      </c>
    </row>
    <row r="305" spans="1:6" ht="12.75" customHeight="1">
      <c r="A305" s="340">
        <v>50</v>
      </c>
      <c r="B305" s="452" t="s">
        <v>494</v>
      </c>
      <c r="C305" s="341" t="s">
        <v>37</v>
      </c>
      <c r="D305" s="353"/>
      <c r="E305" s="343"/>
      <c r="F305" s="364"/>
    </row>
    <row r="306" spans="1:6" ht="12.75" customHeight="1">
      <c r="A306" s="340"/>
      <c r="B306" s="345" t="s">
        <v>444</v>
      </c>
      <c r="C306" s="341" t="s">
        <v>37</v>
      </c>
      <c r="D306" s="342">
        <v>1</v>
      </c>
      <c r="E306" s="343">
        <f>E300</f>
        <v>960450</v>
      </c>
      <c r="F306" s="354">
        <f t="shared" ref="F306:F345" si="29">D306*E306</f>
        <v>960450</v>
      </c>
    </row>
    <row r="307" spans="1:6" ht="12.75" customHeight="1">
      <c r="A307" s="340"/>
      <c r="B307" s="345" t="s">
        <v>450</v>
      </c>
      <c r="C307" s="341" t="s">
        <v>289</v>
      </c>
      <c r="D307" s="342">
        <f>1/0.052*5.5*1.04*1.15</f>
        <v>126.49999999999999</v>
      </c>
      <c r="E307" s="343">
        <f t="shared" ref="E307:E309" si="30">E301</f>
        <v>12669.369369369369</v>
      </c>
      <c r="F307" s="354">
        <f t="shared" si="29"/>
        <v>1602675.2252252251</v>
      </c>
    </row>
    <row r="308" spans="1:6" ht="12.75" customHeight="1">
      <c r="A308" s="340"/>
      <c r="B308" s="345" t="s">
        <v>446</v>
      </c>
      <c r="C308" s="352" t="s">
        <v>289</v>
      </c>
      <c r="D308" s="342">
        <f>1/0.052*0.95*5.5*0.395*1.1</f>
        <v>43.658894230769228</v>
      </c>
      <c r="E308" s="343">
        <f t="shared" si="30"/>
        <v>12038.738738738737</v>
      </c>
      <c r="F308" s="354">
        <f t="shared" si="29"/>
        <v>525598.02126645867</v>
      </c>
    </row>
    <row r="309" spans="1:6" ht="12.75" customHeight="1" thickBot="1">
      <c r="A309" s="340"/>
      <c r="B309" s="345" t="s">
        <v>447</v>
      </c>
      <c r="C309" s="362" t="s">
        <v>40</v>
      </c>
      <c r="D309" s="342">
        <f>1/0.052*0.75</f>
        <v>14.423076923076923</v>
      </c>
      <c r="E309" s="343">
        <f t="shared" si="30"/>
        <v>113096.9696969697</v>
      </c>
      <c r="F309" s="365">
        <f t="shared" si="29"/>
        <v>1631206.2937062937</v>
      </c>
    </row>
    <row r="310" spans="1:6" ht="12.75" customHeight="1">
      <c r="A310" s="340"/>
      <c r="B310" s="358" t="s">
        <v>448</v>
      </c>
      <c r="C310" s="363"/>
      <c r="D310" s="353"/>
      <c r="E310" s="343"/>
      <c r="F310" s="364">
        <f>SUM(F306:F309)</f>
        <v>4719929.5401979778</v>
      </c>
    </row>
    <row r="311" spans="1:6" ht="12.75" customHeight="1">
      <c r="A311" s="340">
        <v>51</v>
      </c>
      <c r="B311" s="452" t="s">
        <v>495</v>
      </c>
      <c r="C311" s="341" t="s">
        <v>37</v>
      </c>
      <c r="D311" s="353"/>
      <c r="E311" s="343"/>
      <c r="F311" s="354"/>
    </row>
    <row r="312" spans="1:6" ht="12.75" customHeight="1">
      <c r="A312" s="340"/>
      <c r="B312" s="345" t="s">
        <v>444</v>
      </c>
      <c r="C312" s="341" t="s">
        <v>37</v>
      </c>
      <c r="D312" s="342">
        <v>1</v>
      </c>
      <c r="E312" s="343">
        <f>E306</f>
        <v>960450</v>
      </c>
      <c r="F312" s="354">
        <f t="shared" si="29"/>
        <v>960450</v>
      </c>
    </row>
    <row r="313" spans="1:6" ht="12.75" customHeight="1">
      <c r="A313" s="340"/>
      <c r="B313" s="345" t="s">
        <v>450</v>
      </c>
      <c r="C313" s="341" t="s">
        <v>289</v>
      </c>
      <c r="D313" s="342">
        <f>1/0.06*4*1.04*1.15</f>
        <v>79.733333333333334</v>
      </c>
      <c r="E313" s="343">
        <f t="shared" ref="E313:E315" si="31">E307</f>
        <v>12669.369369369369</v>
      </c>
      <c r="F313" s="354">
        <f t="shared" si="29"/>
        <v>1010171.0510510511</v>
      </c>
    </row>
    <row r="314" spans="1:6" ht="12.75" customHeight="1">
      <c r="A314" s="340"/>
      <c r="B314" s="345" t="s">
        <v>446</v>
      </c>
      <c r="C314" s="352" t="s">
        <v>289</v>
      </c>
      <c r="D314" s="342">
        <f>1/0.06*0.9*5.5*0.395*1.1</f>
        <v>35.846250000000012</v>
      </c>
      <c r="E314" s="343">
        <f t="shared" si="31"/>
        <v>12038.738738738737</v>
      </c>
      <c r="F314" s="354">
        <f t="shared" si="29"/>
        <v>431543.63851351361</v>
      </c>
    </row>
    <row r="315" spans="1:6" ht="12.75" customHeight="1" thickBot="1">
      <c r="A315" s="340"/>
      <c r="B315" s="345" t="s">
        <v>447</v>
      </c>
      <c r="C315" s="362" t="s">
        <v>40</v>
      </c>
      <c r="D315" s="342">
        <f>1/0.06*0.6</f>
        <v>10</v>
      </c>
      <c r="E315" s="343">
        <f t="shared" si="31"/>
        <v>113096.9696969697</v>
      </c>
      <c r="F315" s="355">
        <f t="shared" si="29"/>
        <v>1130969.696969697</v>
      </c>
    </row>
    <row r="316" spans="1:6" ht="12.75" customHeight="1">
      <c r="A316" s="340"/>
      <c r="B316" s="358" t="s">
        <v>448</v>
      </c>
      <c r="C316" s="363"/>
      <c r="D316" s="353"/>
      <c r="E316" s="343"/>
      <c r="F316" s="350">
        <f>SUM(F312:F315)</f>
        <v>3533134.3865342615</v>
      </c>
    </row>
    <row r="317" spans="1:6" ht="12.75" customHeight="1">
      <c r="A317" s="340">
        <v>52</v>
      </c>
      <c r="B317" s="452" t="s">
        <v>496</v>
      </c>
      <c r="C317" s="341" t="s">
        <v>37</v>
      </c>
      <c r="D317" s="353"/>
      <c r="E317" s="343"/>
      <c r="F317" s="354"/>
    </row>
    <row r="318" spans="1:6" ht="12.75" customHeight="1">
      <c r="A318" s="340"/>
      <c r="B318" s="345" t="s">
        <v>444</v>
      </c>
      <c r="C318" s="341" t="s">
        <v>37</v>
      </c>
      <c r="D318" s="342">
        <v>1</v>
      </c>
      <c r="E318" s="343">
        <f>E312</f>
        <v>960450</v>
      </c>
      <c r="F318" s="354">
        <f t="shared" ref="F318:F321" si="32">D318*E318</f>
        <v>960450</v>
      </c>
    </row>
    <row r="319" spans="1:6" ht="12.75" customHeight="1">
      <c r="A319" s="340"/>
      <c r="B319" s="345" t="s">
        <v>450</v>
      </c>
      <c r="C319" s="341" t="s">
        <v>289</v>
      </c>
      <c r="D319" s="342">
        <f>1/0.06*4*1.04*1.15</f>
        <v>79.733333333333334</v>
      </c>
      <c r="E319" s="343">
        <f t="shared" ref="E319:E321" si="33">E313</f>
        <v>12669.369369369369</v>
      </c>
      <c r="F319" s="354">
        <f t="shared" si="32"/>
        <v>1010171.0510510511</v>
      </c>
    </row>
    <row r="320" spans="1:6" ht="12.75" customHeight="1">
      <c r="A320" s="340"/>
      <c r="B320" s="345" t="s">
        <v>446</v>
      </c>
      <c r="C320" s="352" t="s">
        <v>289</v>
      </c>
      <c r="D320" s="342">
        <f>1/0.06*0.9*6*0.395*1.1</f>
        <v>39.105000000000011</v>
      </c>
      <c r="E320" s="343">
        <f t="shared" si="33"/>
        <v>12038.738738738737</v>
      </c>
      <c r="F320" s="354">
        <f t="shared" si="32"/>
        <v>470774.87837837846</v>
      </c>
    </row>
    <row r="321" spans="1:6" ht="12.75" customHeight="1" thickBot="1">
      <c r="A321" s="340"/>
      <c r="B321" s="345" t="s">
        <v>447</v>
      </c>
      <c r="C321" s="362" t="s">
        <v>40</v>
      </c>
      <c r="D321" s="342">
        <f>1/0.06*0.6</f>
        <v>10</v>
      </c>
      <c r="E321" s="343">
        <f t="shared" si="33"/>
        <v>113096.9696969697</v>
      </c>
      <c r="F321" s="355">
        <f t="shared" si="32"/>
        <v>1130969.696969697</v>
      </c>
    </row>
    <row r="322" spans="1:6" ht="12.75" customHeight="1">
      <c r="A322" s="340"/>
      <c r="B322" s="358" t="s">
        <v>448</v>
      </c>
      <c r="C322" s="363"/>
      <c r="D322" s="353"/>
      <c r="E322" s="343"/>
      <c r="F322" s="350">
        <f>SUM(F318:F321)</f>
        <v>3572365.6263991268</v>
      </c>
    </row>
    <row r="323" spans="1:6" ht="12.75" customHeight="1">
      <c r="A323" s="340">
        <v>53</v>
      </c>
      <c r="B323" s="452" t="s">
        <v>497</v>
      </c>
      <c r="C323" s="341" t="s">
        <v>37</v>
      </c>
      <c r="D323" s="353"/>
      <c r="E323" s="343"/>
      <c r="F323" s="354"/>
    </row>
    <row r="324" spans="1:6" ht="12.75" customHeight="1">
      <c r="A324" s="340"/>
      <c r="B324" s="345" t="s">
        <v>444</v>
      </c>
      <c r="C324" s="341" t="s">
        <v>37</v>
      </c>
      <c r="D324" s="342">
        <v>1</v>
      </c>
      <c r="E324" s="343">
        <f>E318</f>
        <v>960450</v>
      </c>
      <c r="F324" s="354">
        <f t="shared" ref="F324:F327" si="34">D324*E324</f>
        <v>960450</v>
      </c>
    </row>
    <row r="325" spans="1:6" ht="12.75" customHeight="1">
      <c r="A325" s="340"/>
      <c r="B325" s="345" t="s">
        <v>450</v>
      </c>
      <c r="C325" s="341" t="s">
        <v>289</v>
      </c>
      <c r="D325" s="342">
        <f>1/0.06*4.75*1.04*1.15</f>
        <v>94.683333333333337</v>
      </c>
      <c r="E325" s="343">
        <f t="shared" ref="E325:E327" si="35">E319</f>
        <v>12669.369369369369</v>
      </c>
      <c r="F325" s="354">
        <f t="shared" si="34"/>
        <v>1199578.1231231231</v>
      </c>
    </row>
    <row r="326" spans="1:6" ht="12.75" customHeight="1">
      <c r="A326" s="340"/>
      <c r="B326" s="345" t="s">
        <v>446</v>
      </c>
      <c r="C326" s="352" t="s">
        <v>289</v>
      </c>
      <c r="D326" s="342">
        <f>1/0.06*0.9*6*0.395*1.1</f>
        <v>39.105000000000011</v>
      </c>
      <c r="E326" s="343">
        <f t="shared" si="35"/>
        <v>12038.738738738737</v>
      </c>
      <c r="F326" s="354">
        <f t="shared" si="34"/>
        <v>470774.87837837846</v>
      </c>
    </row>
    <row r="327" spans="1:6" ht="12.75" customHeight="1" thickBot="1">
      <c r="A327" s="340"/>
      <c r="B327" s="345" t="s">
        <v>447</v>
      </c>
      <c r="C327" s="362" t="s">
        <v>40</v>
      </c>
      <c r="D327" s="342">
        <f>1/0.06*0.6</f>
        <v>10</v>
      </c>
      <c r="E327" s="343">
        <f t="shared" si="35"/>
        <v>113096.9696969697</v>
      </c>
      <c r="F327" s="355">
        <f t="shared" si="34"/>
        <v>1130969.696969697</v>
      </c>
    </row>
    <row r="328" spans="1:6" ht="12.75" customHeight="1">
      <c r="A328" s="340"/>
      <c r="B328" s="358" t="s">
        <v>448</v>
      </c>
      <c r="C328" s="363"/>
      <c r="D328" s="353"/>
      <c r="E328" s="343"/>
      <c r="F328" s="350">
        <f>SUM(F324:F327)</f>
        <v>3761772.6984711988</v>
      </c>
    </row>
    <row r="329" spans="1:6" ht="12.75" customHeight="1">
      <c r="A329" s="340">
        <v>54</v>
      </c>
      <c r="B329" s="452" t="s">
        <v>498</v>
      </c>
      <c r="C329" s="341" t="s">
        <v>37</v>
      </c>
      <c r="D329" s="353"/>
      <c r="E329" s="343"/>
      <c r="F329" s="354"/>
    </row>
    <row r="330" spans="1:6" ht="12.75" customHeight="1">
      <c r="A330" s="340"/>
      <c r="B330" s="345" t="s">
        <v>444</v>
      </c>
      <c r="C330" s="341" t="s">
        <v>37</v>
      </c>
      <c r="D330" s="342">
        <v>1</v>
      </c>
      <c r="E330" s="343">
        <f>E324</f>
        <v>960450</v>
      </c>
      <c r="F330" s="354">
        <f t="shared" ref="F330:F333" si="36">D330*E330</f>
        <v>960450</v>
      </c>
    </row>
    <row r="331" spans="1:6" ht="12.75" customHeight="1">
      <c r="A331" s="340"/>
      <c r="B331" s="345" t="s">
        <v>450</v>
      </c>
      <c r="C331" s="341" t="s">
        <v>289</v>
      </c>
      <c r="D331" s="342">
        <f>1/0.06*5*1.04*1.15</f>
        <v>99.666666666666686</v>
      </c>
      <c r="E331" s="343">
        <f t="shared" ref="E331:E333" si="37">E325</f>
        <v>12669.369369369369</v>
      </c>
      <c r="F331" s="354">
        <f t="shared" si="36"/>
        <v>1262713.813813814</v>
      </c>
    </row>
    <row r="332" spans="1:6" ht="12.75" customHeight="1">
      <c r="A332" s="340"/>
      <c r="B332" s="345" t="s">
        <v>446</v>
      </c>
      <c r="C332" s="352" t="s">
        <v>289</v>
      </c>
      <c r="D332" s="342">
        <f>1/0.06*0.9*5.5*0.395*1.1</f>
        <v>35.846250000000012</v>
      </c>
      <c r="E332" s="343">
        <f t="shared" si="37"/>
        <v>12038.738738738737</v>
      </c>
      <c r="F332" s="354">
        <f t="shared" si="36"/>
        <v>431543.63851351361</v>
      </c>
    </row>
    <row r="333" spans="1:6" ht="12.75" customHeight="1" thickBot="1">
      <c r="A333" s="340"/>
      <c r="B333" s="345" t="s">
        <v>447</v>
      </c>
      <c r="C333" s="362" t="s">
        <v>40</v>
      </c>
      <c r="D333" s="342">
        <f>1/0.06*0.6</f>
        <v>10</v>
      </c>
      <c r="E333" s="343">
        <f t="shared" si="37"/>
        <v>113096.9696969697</v>
      </c>
      <c r="F333" s="355">
        <f t="shared" si="36"/>
        <v>1130969.696969697</v>
      </c>
    </row>
    <row r="334" spans="1:6" ht="12.75" customHeight="1">
      <c r="A334" s="340"/>
      <c r="B334" s="358" t="s">
        <v>448</v>
      </c>
      <c r="C334" s="363"/>
      <c r="D334" s="353"/>
      <c r="E334" s="343"/>
      <c r="F334" s="350">
        <f>SUM(F330:F333)</f>
        <v>3785677.1492970251</v>
      </c>
    </row>
    <row r="335" spans="1:6" ht="12.75" customHeight="1">
      <c r="A335" s="340">
        <v>55</v>
      </c>
      <c r="B335" s="452" t="s">
        <v>498</v>
      </c>
      <c r="C335" s="341" t="s">
        <v>37</v>
      </c>
      <c r="D335" s="353"/>
      <c r="E335" s="343"/>
      <c r="F335" s="354"/>
    </row>
    <row r="336" spans="1:6" ht="12.75" customHeight="1">
      <c r="A336" s="340"/>
      <c r="B336" s="345" t="s">
        <v>444</v>
      </c>
      <c r="C336" s="341" t="s">
        <v>37</v>
      </c>
      <c r="D336" s="342">
        <v>1</v>
      </c>
      <c r="E336" s="343">
        <f>E330</f>
        <v>960450</v>
      </c>
      <c r="F336" s="354">
        <f t="shared" ref="F336:F339" si="38">D336*E336</f>
        <v>960450</v>
      </c>
    </row>
    <row r="337" spans="1:6" ht="12.75" customHeight="1">
      <c r="A337" s="340"/>
      <c r="B337" s="345" t="s">
        <v>450</v>
      </c>
      <c r="C337" s="341" t="s">
        <v>289</v>
      </c>
      <c r="D337" s="342">
        <f>1/0.06*5*1.04*1.15</f>
        <v>99.666666666666686</v>
      </c>
      <c r="E337" s="343">
        <f t="shared" ref="E337:E339" si="39">E331</f>
        <v>12669.369369369369</v>
      </c>
      <c r="F337" s="354">
        <f t="shared" si="38"/>
        <v>1262713.813813814</v>
      </c>
    </row>
    <row r="338" spans="1:6" ht="12.75" customHeight="1">
      <c r="A338" s="340"/>
      <c r="B338" s="345" t="s">
        <v>446</v>
      </c>
      <c r="C338" s="352" t="s">
        <v>289</v>
      </c>
      <c r="D338" s="342">
        <f>1/0.06*0.9*5.5*0.395*1.1</f>
        <v>35.846250000000012</v>
      </c>
      <c r="E338" s="343">
        <f t="shared" si="39"/>
        <v>12038.738738738737</v>
      </c>
      <c r="F338" s="354">
        <f t="shared" si="38"/>
        <v>431543.63851351361</v>
      </c>
    </row>
    <row r="339" spans="1:6" ht="12.75" customHeight="1" thickBot="1">
      <c r="A339" s="340"/>
      <c r="B339" s="345" t="s">
        <v>447</v>
      </c>
      <c r="C339" s="362" t="s">
        <v>40</v>
      </c>
      <c r="D339" s="342">
        <f>1/0.06*0.6</f>
        <v>10</v>
      </c>
      <c r="E339" s="343">
        <f t="shared" si="39"/>
        <v>113096.9696969697</v>
      </c>
      <c r="F339" s="355">
        <f t="shared" si="38"/>
        <v>1130969.696969697</v>
      </c>
    </row>
    <row r="340" spans="1:6" ht="12.75" customHeight="1">
      <c r="A340" s="340"/>
      <c r="B340" s="358" t="s">
        <v>448</v>
      </c>
      <c r="C340" s="363"/>
      <c r="D340" s="353"/>
      <c r="E340" s="343"/>
      <c r="F340" s="350">
        <f>SUM(F336:F339)</f>
        <v>3785677.1492970251</v>
      </c>
    </row>
    <row r="341" spans="1:6" ht="12.75" customHeight="1">
      <c r="A341" s="340">
        <v>56</v>
      </c>
      <c r="B341" s="452" t="s">
        <v>499</v>
      </c>
      <c r="C341" s="341" t="s">
        <v>37</v>
      </c>
      <c r="D341" s="353"/>
      <c r="E341" s="343"/>
      <c r="F341" s="354"/>
    </row>
    <row r="342" spans="1:6" ht="12.75" customHeight="1">
      <c r="A342" s="340"/>
      <c r="B342" s="345" t="s">
        <v>444</v>
      </c>
      <c r="C342" s="341" t="s">
        <v>37</v>
      </c>
      <c r="D342" s="342">
        <v>1</v>
      </c>
      <c r="E342" s="343">
        <f>E312</f>
        <v>960450</v>
      </c>
      <c r="F342" s="354">
        <f t="shared" si="29"/>
        <v>960450</v>
      </c>
    </row>
    <row r="343" spans="1:6" ht="12.75" customHeight="1">
      <c r="A343" s="340"/>
      <c r="B343" s="345" t="s">
        <v>473</v>
      </c>
      <c r="C343" s="341" t="s">
        <v>289</v>
      </c>
      <c r="D343" s="342">
        <f>1/0.105*7.5*1.578*1.15</f>
        <v>129.62142857142857</v>
      </c>
      <c r="E343" s="343">
        <f>E313</f>
        <v>12669.369369369369</v>
      </c>
      <c r="F343" s="354">
        <f t="shared" si="29"/>
        <v>1642221.7567567567</v>
      </c>
    </row>
    <row r="344" spans="1:6" ht="12.75" customHeight="1">
      <c r="A344" s="340"/>
      <c r="B344" s="345" t="s">
        <v>446</v>
      </c>
      <c r="C344" s="352" t="s">
        <v>289</v>
      </c>
      <c r="D344" s="342">
        <f>1/0.105*1.2*6.5*0.395*1.1</f>
        <v>32.277142857142863</v>
      </c>
      <c r="E344" s="343">
        <f>E314</f>
        <v>12038.738738738737</v>
      </c>
      <c r="F344" s="354">
        <f t="shared" si="29"/>
        <v>388576.09009009012</v>
      </c>
    </row>
    <row r="345" spans="1:6" ht="12.75" customHeight="1" thickBot="1">
      <c r="A345" s="340"/>
      <c r="B345" s="345" t="s">
        <v>447</v>
      </c>
      <c r="C345" s="362" t="s">
        <v>40</v>
      </c>
      <c r="D345" s="342">
        <f>1/0.105*0.75</f>
        <v>7.1428571428571423</v>
      </c>
      <c r="E345" s="343">
        <f>E315</f>
        <v>113096.9696969697</v>
      </c>
      <c r="F345" s="365">
        <f t="shared" si="29"/>
        <v>807835.49783549772</v>
      </c>
    </row>
    <row r="346" spans="1:6" ht="12.75" customHeight="1">
      <c r="A346" s="340"/>
      <c r="B346" s="358" t="s">
        <v>448</v>
      </c>
      <c r="C346" s="363"/>
      <c r="D346" s="353"/>
      <c r="E346" s="343"/>
      <c r="F346" s="364">
        <f>SUM(F342:F345)</f>
        <v>3799083.3446823442</v>
      </c>
    </row>
    <row r="347" spans="1:6" ht="12.75" customHeight="1">
      <c r="A347" s="340">
        <v>57</v>
      </c>
      <c r="B347" s="452" t="s">
        <v>500</v>
      </c>
      <c r="C347" s="341" t="s">
        <v>37</v>
      </c>
      <c r="D347" s="353"/>
      <c r="E347" s="343"/>
      <c r="F347" s="354"/>
    </row>
    <row r="348" spans="1:6" ht="12.75" customHeight="1">
      <c r="A348" s="340"/>
      <c r="B348" s="345" t="s">
        <v>444</v>
      </c>
      <c r="C348" s="341" t="s">
        <v>37</v>
      </c>
      <c r="D348" s="342">
        <v>1</v>
      </c>
      <c r="E348" s="343">
        <f>E318</f>
        <v>960450</v>
      </c>
      <c r="F348" s="354">
        <f t="shared" ref="F348:F351" si="40">D348*E348</f>
        <v>960450</v>
      </c>
    </row>
    <row r="349" spans="1:6" ht="12.75" customHeight="1">
      <c r="A349" s="340"/>
      <c r="B349" s="345" t="s">
        <v>473</v>
      </c>
      <c r="C349" s="341" t="s">
        <v>289</v>
      </c>
      <c r="D349" s="342">
        <f>1/0.105*7*1.578*1.15</f>
        <v>120.98</v>
      </c>
      <c r="E349" s="343">
        <f>E319</f>
        <v>12669.369369369369</v>
      </c>
      <c r="F349" s="354">
        <f t="shared" si="40"/>
        <v>1532740.3063063063</v>
      </c>
    </row>
    <row r="350" spans="1:6" ht="12.75" customHeight="1">
      <c r="A350" s="340"/>
      <c r="B350" s="345" t="s">
        <v>446</v>
      </c>
      <c r="C350" s="352" t="s">
        <v>289</v>
      </c>
      <c r="D350" s="342">
        <f>1/0.105*1.2*7*0.395*1.1</f>
        <v>34.760000000000005</v>
      </c>
      <c r="E350" s="343">
        <f>E320</f>
        <v>12038.738738738737</v>
      </c>
      <c r="F350" s="354">
        <f t="shared" si="40"/>
        <v>418466.55855855858</v>
      </c>
    </row>
    <row r="351" spans="1:6" ht="12.75" customHeight="1" thickBot="1">
      <c r="A351" s="340"/>
      <c r="B351" s="345" t="s">
        <v>447</v>
      </c>
      <c r="C351" s="362" t="s">
        <v>40</v>
      </c>
      <c r="D351" s="342">
        <f>1/0.105*0.75</f>
        <v>7.1428571428571423</v>
      </c>
      <c r="E351" s="343">
        <f>E321</f>
        <v>113096.9696969697</v>
      </c>
      <c r="F351" s="365">
        <f t="shared" si="40"/>
        <v>807835.49783549772</v>
      </c>
    </row>
    <row r="352" spans="1:6" ht="12.75" customHeight="1">
      <c r="A352" s="340"/>
      <c r="B352" s="358" t="s">
        <v>448</v>
      </c>
      <c r="C352" s="363"/>
      <c r="D352" s="353"/>
      <c r="E352" s="343"/>
      <c r="F352" s="364">
        <f>SUM(F348:F351)</f>
        <v>3719492.3627003627</v>
      </c>
    </row>
    <row r="353" spans="1:6" ht="12.75" customHeight="1">
      <c r="A353" s="340">
        <v>58</v>
      </c>
      <c r="B353" s="452" t="s">
        <v>501</v>
      </c>
      <c r="C353" s="341" t="s">
        <v>37</v>
      </c>
      <c r="D353" s="353"/>
      <c r="E353" s="343"/>
      <c r="F353" s="354"/>
    </row>
    <row r="354" spans="1:6" ht="12.75" customHeight="1">
      <c r="A354" s="340"/>
      <c r="B354" s="345" t="s">
        <v>444</v>
      </c>
      <c r="C354" s="341" t="s">
        <v>37</v>
      </c>
      <c r="D354" s="342">
        <v>1</v>
      </c>
      <c r="E354" s="343">
        <f>E324</f>
        <v>960450</v>
      </c>
      <c r="F354" s="354">
        <f t="shared" ref="F354:F357" si="41">D354*E354</f>
        <v>960450</v>
      </c>
    </row>
    <row r="355" spans="1:6" ht="12.75" customHeight="1">
      <c r="A355" s="340"/>
      <c r="B355" s="345" t="s">
        <v>473</v>
      </c>
      <c r="C355" s="341" t="s">
        <v>289</v>
      </c>
      <c r="D355" s="342">
        <f>1/0.14*7.5*1.578*1.15</f>
        <v>97.216071428571425</v>
      </c>
      <c r="E355" s="343">
        <f>E325</f>
        <v>12669.369369369369</v>
      </c>
      <c r="F355" s="354">
        <f t="shared" si="41"/>
        <v>1231666.3175675676</v>
      </c>
    </row>
    <row r="356" spans="1:6" ht="12.75" customHeight="1">
      <c r="A356" s="340"/>
      <c r="B356" s="345" t="s">
        <v>446</v>
      </c>
      <c r="C356" s="352" t="s">
        <v>289</v>
      </c>
      <c r="D356" s="342">
        <f>1/0.14*1.4*8*0.395*1.1</f>
        <v>34.76</v>
      </c>
      <c r="E356" s="343">
        <f>E326</f>
        <v>12038.738738738737</v>
      </c>
      <c r="F356" s="354">
        <f t="shared" si="41"/>
        <v>418466.55855855846</v>
      </c>
    </row>
    <row r="357" spans="1:6" ht="12.75" customHeight="1" thickBot="1">
      <c r="A357" s="340"/>
      <c r="B357" s="345" t="s">
        <v>447</v>
      </c>
      <c r="C357" s="362" t="s">
        <v>40</v>
      </c>
      <c r="D357" s="342">
        <f>1/0.14*0.95</f>
        <v>6.7857142857142847</v>
      </c>
      <c r="E357" s="343">
        <f>E327</f>
        <v>113096.9696969697</v>
      </c>
      <c r="F357" s="365">
        <f t="shared" si="41"/>
        <v>767443.72294372285</v>
      </c>
    </row>
    <row r="358" spans="1:6" ht="12.75" customHeight="1">
      <c r="A358" s="340"/>
      <c r="B358" s="358" t="s">
        <v>448</v>
      </c>
      <c r="C358" s="363"/>
      <c r="D358" s="353"/>
      <c r="E358" s="343"/>
      <c r="F358" s="364">
        <f>SUM(F354:F357)</f>
        <v>3378026.5990698487</v>
      </c>
    </row>
    <row r="359" spans="1:6" ht="12.75" customHeight="1">
      <c r="A359" s="340">
        <v>59</v>
      </c>
      <c r="B359" s="450" t="s">
        <v>502</v>
      </c>
      <c r="C359" s="341" t="s">
        <v>37</v>
      </c>
      <c r="D359" s="353"/>
      <c r="E359" s="343"/>
      <c r="F359" s="357"/>
    </row>
    <row r="360" spans="1:6" ht="12.75" customHeight="1">
      <c r="A360" s="340"/>
      <c r="B360" s="345" t="s">
        <v>444</v>
      </c>
      <c r="C360" s="341" t="s">
        <v>37</v>
      </c>
      <c r="D360" s="342">
        <v>1</v>
      </c>
      <c r="E360" s="343">
        <f>E354</f>
        <v>960450</v>
      </c>
      <c r="F360" s="354">
        <f>D360*E360</f>
        <v>960450</v>
      </c>
    </row>
    <row r="361" spans="1:6" ht="12.75" customHeight="1">
      <c r="A361" s="340"/>
      <c r="B361" s="345" t="s">
        <v>446</v>
      </c>
      <c r="C361" s="341" t="s">
        <v>289</v>
      </c>
      <c r="D361" s="342">
        <f>1/0.1*24*0.395*1.15</f>
        <v>109.02000000000001</v>
      </c>
      <c r="E361" s="343">
        <f>E356</f>
        <v>12038.738738738737</v>
      </c>
      <c r="F361" s="354">
        <f>D361*E361</f>
        <v>1312463.2972972973</v>
      </c>
    </row>
    <row r="362" spans="1:6" ht="12.75" customHeight="1" thickBot="1">
      <c r="A362" s="340"/>
      <c r="B362" s="345" t="s">
        <v>447</v>
      </c>
      <c r="C362" s="362" t="s">
        <v>40</v>
      </c>
      <c r="D362" s="342">
        <f>1/0.1</f>
        <v>10</v>
      </c>
      <c r="E362" s="343">
        <f>Analisa!F68</f>
        <v>135071.9696969697</v>
      </c>
      <c r="F362" s="355">
        <f>D362*E362</f>
        <v>1350719.696969697</v>
      </c>
    </row>
    <row r="363" spans="1:6" ht="12.75" customHeight="1">
      <c r="A363" s="340"/>
      <c r="B363" s="358" t="s">
        <v>448</v>
      </c>
      <c r="C363" s="363"/>
      <c r="D363" s="353"/>
      <c r="E363" s="343"/>
      <c r="F363" s="350">
        <f>SUM(F360:F362)</f>
        <v>3623632.9942669943</v>
      </c>
    </row>
    <row r="364" spans="1:6" ht="12.75" customHeight="1">
      <c r="A364" s="340">
        <v>60</v>
      </c>
      <c r="B364" s="450" t="s">
        <v>503</v>
      </c>
      <c r="C364" s="341" t="s">
        <v>37</v>
      </c>
      <c r="D364" s="353"/>
      <c r="E364" s="343"/>
      <c r="F364" s="357"/>
    </row>
    <row r="365" spans="1:6" ht="12.75" customHeight="1">
      <c r="A365" s="340"/>
      <c r="B365" s="345" t="s">
        <v>444</v>
      </c>
      <c r="C365" s="341" t="s">
        <v>37</v>
      </c>
      <c r="D365" s="342">
        <v>1</v>
      </c>
      <c r="E365" s="343">
        <f>E360</f>
        <v>960450</v>
      </c>
      <c r="F365" s="354">
        <f>D365*E365</f>
        <v>960450</v>
      </c>
    </row>
    <row r="366" spans="1:6" ht="12.75" customHeight="1">
      <c r="A366" s="340"/>
      <c r="B366" s="345" t="s">
        <v>446</v>
      </c>
      <c r="C366" s="341" t="s">
        <v>289</v>
      </c>
      <c r="D366" s="342">
        <f>1/0.15*30*0.395*1.15</f>
        <v>90.85</v>
      </c>
      <c r="E366" s="343">
        <f t="shared" ref="E366" si="42">E361</f>
        <v>12038.738738738737</v>
      </c>
      <c r="F366" s="354">
        <f>D366*E366</f>
        <v>1093719.4144144142</v>
      </c>
    </row>
    <row r="367" spans="1:6" ht="12.75" customHeight="1" thickBot="1">
      <c r="A367" s="340"/>
      <c r="B367" s="345" t="s">
        <v>447</v>
      </c>
      <c r="C367" s="362" t="s">
        <v>40</v>
      </c>
      <c r="D367" s="342">
        <f>1/0.15</f>
        <v>6.666666666666667</v>
      </c>
      <c r="E367" s="343">
        <f>E362</f>
        <v>135071.9696969697</v>
      </c>
      <c r="F367" s="355">
        <f>D367*E367</f>
        <v>900479.79797979805</v>
      </c>
    </row>
    <row r="368" spans="1:6" ht="12.75" customHeight="1">
      <c r="A368" s="340"/>
      <c r="B368" s="358" t="s">
        <v>448</v>
      </c>
      <c r="C368" s="363"/>
      <c r="D368" s="353"/>
      <c r="E368" s="343"/>
      <c r="F368" s="350">
        <f>SUM(F365:F367)</f>
        <v>2954649.2123942124</v>
      </c>
    </row>
    <row r="369" spans="1:6" ht="12.75" customHeight="1">
      <c r="A369" s="340">
        <v>61</v>
      </c>
      <c r="B369" s="450" t="s">
        <v>611</v>
      </c>
      <c r="C369" s="341" t="s">
        <v>37</v>
      </c>
      <c r="D369" s="353"/>
      <c r="E369" s="343"/>
      <c r="F369" s="357"/>
    </row>
    <row r="370" spans="1:6" ht="12.75" customHeight="1">
      <c r="A370" s="340"/>
      <c r="B370" s="345" t="s">
        <v>444</v>
      </c>
      <c r="C370" s="341" t="s">
        <v>37</v>
      </c>
      <c r="D370" s="342">
        <v>1</v>
      </c>
      <c r="E370" s="343">
        <f>Analisa!F31</f>
        <v>1232750</v>
      </c>
      <c r="F370" s="354">
        <f>D370*E370</f>
        <v>1232750</v>
      </c>
    </row>
    <row r="371" spans="1:6" ht="12.75" customHeight="1">
      <c r="A371" s="340"/>
      <c r="B371" s="345" t="s">
        <v>445</v>
      </c>
      <c r="C371" s="341" t="s">
        <v>289</v>
      </c>
      <c r="D371" s="342">
        <f>1/0.15*30*0.617*1.15</f>
        <v>141.91</v>
      </c>
      <c r="E371" s="343">
        <f>E355</f>
        <v>12669.369369369369</v>
      </c>
      <c r="F371" s="354">
        <f>D371*E371</f>
        <v>1797910.2072072071</v>
      </c>
    </row>
    <row r="372" spans="1:6" ht="12.75" customHeight="1" thickBot="1">
      <c r="A372" s="340"/>
      <c r="B372" s="345" t="s">
        <v>447</v>
      </c>
      <c r="C372" s="362" t="s">
        <v>40</v>
      </c>
      <c r="D372" s="342">
        <f>1/0.15</f>
        <v>6.666666666666667</v>
      </c>
      <c r="E372" s="343">
        <f>E367</f>
        <v>135071.9696969697</v>
      </c>
      <c r="F372" s="355">
        <f>D372*E372</f>
        <v>900479.79797979805</v>
      </c>
    </row>
    <row r="373" spans="1:6" ht="12.75" customHeight="1">
      <c r="A373" s="340"/>
      <c r="B373" s="358" t="s">
        <v>448</v>
      </c>
      <c r="C373" s="363"/>
      <c r="D373" s="353"/>
      <c r="E373" s="343"/>
      <c r="F373" s="350">
        <f>SUM(F370:F372)</f>
        <v>3931140.0051870053</v>
      </c>
    </row>
    <row r="374" spans="1:6" ht="12.75" customHeight="1">
      <c r="A374" s="366">
        <v>62</v>
      </c>
      <c r="B374" s="450" t="s">
        <v>536</v>
      </c>
      <c r="C374" s="370"/>
      <c r="D374" s="371"/>
      <c r="E374" s="372"/>
      <c r="F374" s="373"/>
    </row>
    <row r="375" spans="1:6" ht="12.75" customHeight="1">
      <c r="A375" s="366"/>
      <c r="B375" s="345" t="s">
        <v>444</v>
      </c>
      <c r="C375" s="341" t="s">
        <v>37</v>
      </c>
      <c r="D375" s="342">
        <v>1</v>
      </c>
      <c r="E375" s="343">
        <f>E365</f>
        <v>960450</v>
      </c>
      <c r="F375" s="367">
        <f>D375*E375</f>
        <v>960450</v>
      </c>
    </row>
    <row r="376" spans="1:6" ht="12.75" customHeight="1">
      <c r="A376" s="366"/>
      <c r="B376" s="345" t="s">
        <v>446</v>
      </c>
      <c r="C376" s="341" t="s">
        <v>289</v>
      </c>
      <c r="D376" s="342">
        <v>117.36714000000001</v>
      </c>
      <c r="E376" s="343">
        <f>E366</f>
        <v>12038.738738738737</v>
      </c>
      <c r="F376" s="367">
        <f>D376*E376</f>
        <v>1412952.3349729727</v>
      </c>
    </row>
    <row r="377" spans="1:6" ht="12.75" customHeight="1" thickBot="1">
      <c r="A377" s="366"/>
      <c r="B377" s="345" t="s">
        <v>447</v>
      </c>
      <c r="C377" s="362" t="s">
        <v>40</v>
      </c>
      <c r="D377" s="342">
        <f>(2.5*2.22+0.15*2.22*5)*1.1</f>
        <v>7.9365000000000014</v>
      </c>
      <c r="E377" s="343">
        <f>E372</f>
        <v>135071.9696969697</v>
      </c>
      <c r="F377" s="368">
        <f>D377*E377</f>
        <v>1071998.6875000002</v>
      </c>
    </row>
    <row r="378" spans="1:6" ht="12.75" customHeight="1">
      <c r="A378" s="366"/>
      <c r="B378" s="358" t="s">
        <v>448</v>
      </c>
      <c r="C378" s="363"/>
      <c r="D378" s="371"/>
      <c r="E378" s="372"/>
      <c r="F378" s="369">
        <f>SUM(F375:F377)</f>
        <v>3445401.022472973</v>
      </c>
    </row>
    <row r="379" spans="1:6" ht="12.75" customHeight="1">
      <c r="A379" s="340">
        <v>63</v>
      </c>
      <c r="B379" s="450" t="s">
        <v>537</v>
      </c>
      <c r="C379" s="370"/>
      <c r="D379" s="371"/>
      <c r="E379" s="372"/>
      <c r="F379" s="373"/>
    </row>
    <row r="380" spans="1:6" ht="12.75" customHeight="1">
      <c r="A380" s="340"/>
      <c r="B380" s="345" t="s">
        <v>475</v>
      </c>
      <c r="C380" s="341" t="s">
        <v>37</v>
      </c>
      <c r="D380" s="342">
        <v>1</v>
      </c>
      <c r="E380" s="372">
        <f>Analisa!F20</f>
        <v>988811.5</v>
      </c>
      <c r="F380" s="354">
        <f>D380*E380</f>
        <v>988811.5</v>
      </c>
    </row>
    <row r="381" spans="1:6" ht="12.75" customHeight="1">
      <c r="A381" s="340"/>
      <c r="B381" s="345" t="s">
        <v>446</v>
      </c>
      <c r="C381" s="352" t="s">
        <v>289</v>
      </c>
      <c r="D381" s="370">
        <v>118.86</v>
      </c>
      <c r="E381" s="372">
        <f>E376</f>
        <v>12038.738738738737</v>
      </c>
      <c r="F381" s="354">
        <f>D381*E381</f>
        <v>1430924.4864864864</v>
      </c>
    </row>
    <row r="382" spans="1:6" ht="12.75" customHeight="1" thickBot="1">
      <c r="A382" s="340"/>
      <c r="B382" s="345" t="s">
        <v>447</v>
      </c>
      <c r="C382" s="362" t="s">
        <v>40</v>
      </c>
      <c r="D382" s="342">
        <v>10</v>
      </c>
      <c r="E382" s="343">
        <f>E377</f>
        <v>135071.9696969697</v>
      </c>
      <c r="F382" s="355">
        <f>D382*E382</f>
        <v>1350719.696969697</v>
      </c>
    </row>
    <row r="383" spans="1:6" ht="12.75" customHeight="1">
      <c r="A383" s="340"/>
      <c r="B383" s="358" t="s">
        <v>448</v>
      </c>
      <c r="C383" s="363"/>
      <c r="D383" s="371"/>
      <c r="E383" s="372"/>
      <c r="F383" s="350">
        <f>SUM(F380:F382)</f>
        <v>3770455.6834561834</v>
      </c>
    </row>
    <row r="384" spans="1:6" ht="12.75" customHeight="1">
      <c r="A384" s="340">
        <v>64</v>
      </c>
      <c r="B384" s="450" t="s">
        <v>612</v>
      </c>
      <c r="C384" s="370"/>
      <c r="D384" s="371"/>
      <c r="E384" s="372"/>
      <c r="F384" s="373"/>
    </row>
    <row r="385" spans="1:8" ht="12.75" customHeight="1">
      <c r="A385" s="340"/>
      <c r="B385" s="345" t="s">
        <v>475</v>
      </c>
      <c r="C385" s="341" t="s">
        <v>37</v>
      </c>
      <c r="D385" s="342">
        <v>1</v>
      </c>
      <c r="E385" s="372">
        <f>E192</f>
        <v>1232750</v>
      </c>
      <c r="F385" s="354">
        <f>D385*E385</f>
        <v>1232750</v>
      </c>
    </row>
    <row r="386" spans="1:8" ht="12.75" customHeight="1">
      <c r="A386" s="340"/>
      <c r="B386" s="345" t="s">
        <v>445</v>
      </c>
      <c r="C386" s="352" t="s">
        <v>289</v>
      </c>
      <c r="D386" s="370">
        <f>1/0.15*30*0.617*1.15</f>
        <v>141.91</v>
      </c>
      <c r="E386" s="372">
        <f>E349</f>
        <v>12669.369369369369</v>
      </c>
      <c r="F386" s="354">
        <f>D386*E386</f>
        <v>1797910.2072072071</v>
      </c>
    </row>
    <row r="387" spans="1:8" ht="12.75" customHeight="1" thickBot="1">
      <c r="A387" s="340"/>
      <c r="B387" s="345" t="s">
        <v>447</v>
      </c>
      <c r="C387" s="362" t="s">
        <v>40</v>
      </c>
      <c r="D387" s="342">
        <f>1/0.15*2</f>
        <v>13.333333333333334</v>
      </c>
      <c r="E387" s="343">
        <f>Analisa!F61</f>
        <v>113096.9696969697</v>
      </c>
      <c r="F387" s="355">
        <f>D387*E387</f>
        <v>1507959.5959595961</v>
      </c>
    </row>
    <row r="388" spans="1:8" ht="12.75" customHeight="1">
      <c r="A388" s="340"/>
      <c r="B388" s="358" t="s">
        <v>448</v>
      </c>
      <c r="C388" s="363"/>
      <c r="D388" s="371"/>
      <c r="E388" s="372"/>
      <c r="F388" s="350">
        <f>SUM(F385:F387)</f>
        <v>4538619.803166803</v>
      </c>
    </row>
    <row r="389" spans="1:8" ht="12.75" customHeight="1">
      <c r="A389" s="340">
        <v>65</v>
      </c>
      <c r="B389" s="450" t="s">
        <v>613</v>
      </c>
      <c r="C389" s="370"/>
      <c r="D389" s="371"/>
      <c r="E389" s="372"/>
      <c r="F389" s="373"/>
    </row>
    <row r="390" spans="1:8" ht="12.75" customHeight="1">
      <c r="A390" s="340"/>
      <c r="B390" s="345" t="s">
        <v>475</v>
      </c>
      <c r="C390" s="341" t="s">
        <v>37</v>
      </c>
      <c r="D390" s="342">
        <v>1</v>
      </c>
      <c r="E390" s="372">
        <f>E385</f>
        <v>1232750</v>
      </c>
      <c r="F390" s="354">
        <f>D390*E390</f>
        <v>1232750</v>
      </c>
      <c r="H390" s="333"/>
    </row>
    <row r="391" spans="1:8" ht="12.75" customHeight="1">
      <c r="A391" s="340"/>
      <c r="B391" s="345" t="s">
        <v>445</v>
      </c>
      <c r="C391" s="352" t="s">
        <v>289</v>
      </c>
      <c r="D391" s="370">
        <f>176.5*0.617*1.15</f>
        <v>125.23557499999998</v>
      </c>
      <c r="E391" s="372">
        <f>E386</f>
        <v>12669.369369369369</v>
      </c>
      <c r="F391" s="354">
        <f>D391*E391</f>
        <v>1586655.7578603602</v>
      </c>
    </row>
    <row r="392" spans="1:8" ht="12.75" customHeight="1">
      <c r="A392" s="340"/>
      <c r="B392" s="345" t="s">
        <v>446</v>
      </c>
      <c r="C392" s="352" t="s">
        <v>289</v>
      </c>
      <c r="D392" s="370">
        <f>79.4*0.395</f>
        <v>31.363000000000003</v>
      </c>
      <c r="E392" s="372">
        <f>E381</f>
        <v>12038.738738738737</v>
      </c>
      <c r="F392" s="354">
        <f>D392*E392</f>
        <v>377570.96306306304</v>
      </c>
    </row>
    <row r="393" spans="1:8" ht="12.75" customHeight="1" thickBot="1">
      <c r="A393" s="340"/>
      <c r="B393" s="345" t="s">
        <v>447</v>
      </c>
      <c r="C393" s="362" t="s">
        <v>40</v>
      </c>
      <c r="D393" s="342">
        <v>10</v>
      </c>
      <c r="E393" s="343">
        <f>E387</f>
        <v>113096.9696969697</v>
      </c>
      <c r="F393" s="355">
        <f>D393*E393</f>
        <v>1130969.696969697</v>
      </c>
    </row>
    <row r="394" spans="1:8" ht="12.75" customHeight="1">
      <c r="A394" s="340"/>
      <c r="B394" s="358" t="s">
        <v>448</v>
      </c>
      <c r="C394" s="363"/>
      <c r="D394" s="371"/>
      <c r="E394" s="372"/>
      <c r="F394" s="350">
        <f>SUM(F390:F393)</f>
        <v>4327946.4178931201</v>
      </c>
    </row>
    <row r="395" spans="1:8" ht="12.75" customHeight="1">
      <c r="A395" s="340">
        <v>64</v>
      </c>
      <c r="B395" s="450" t="s">
        <v>541</v>
      </c>
      <c r="C395" s="370"/>
      <c r="D395" s="371"/>
      <c r="E395" s="372"/>
      <c r="F395" s="373"/>
    </row>
    <row r="396" spans="1:8" ht="12.75" customHeight="1">
      <c r="A396" s="340"/>
      <c r="B396" s="345" t="s">
        <v>475</v>
      </c>
      <c r="C396" s="341" t="s">
        <v>37</v>
      </c>
      <c r="D396" s="342">
        <v>1</v>
      </c>
      <c r="E396" s="372">
        <f>E375</f>
        <v>960450</v>
      </c>
      <c r="F396" s="354">
        <f>D396*E396</f>
        <v>960450</v>
      </c>
    </row>
    <row r="397" spans="1:8" ht="12.75" customHeight="1">
      <c r="A397" s="340"/>
      <c r="B397" s="345" t="s">
        <v>446</v>
      </c>
      <c r="C397" s="352" t="s">
        <v>289</v>
      </c>
      <c r="D397" s="370">
        <f>1/0.12*30*0.395*1.15</f>
        <v>113.56250000000001</v>
      </c>
      <c r="E397" s="372">
        <f>E376</f>
        <v>12038.738738738737</v>
      </c>
      <c r="F397" s="354">
        <f>D397*E397</f>
        <v>1367149.268018018</v>
      </c>
    </row>
    <row r="398" spans="1:8" ht="12.75" customHeight="1" thickBot="1">
      <c r="A398" s="340"/>
      <c r="B398" s="345" t="s">
        <v>447</v>
      </c>
      <c r="C398" s="362" t="s">
        <v>40</v>
      </c>
      <c r="D398" s="342">
        <f>1/0.12*2</f>
        <v>16.666666666666668</v>
      </c>
      <c r="E398" s="343">
        <f>E393</f>
        <v>113096.9696969697</v>
      </c>
      <c r="F398" s="355">
        <f>D398*E398</f>
        <v>1884949.494949495</v>
      </c>
    </row>
    <row r="399" spans="1:8" ht="12.75" customHeight="1">
      <c r="A399" s="340"/>
      <c r="B399" s="358" t="s">
        <v>448</v>
      </c>
      <c r="C399" s="363"/>
      <c r="D399" s="371"/>
      <c r="E399" s="372"/>
      <c r="F399" s="350">
        <f>SUM(F396:F398)</f>
        <v>4212548.7629675129</v>
      </c>
    </row>
    <row r="400" spans="1:8" ht="12.75" customHeight="1">
      <c r="A400" s="340">
        <v>65</v>
      </c>
      <c r="B400" s="450" t="s">
        <v>556</v>
      </c>
      <c r="C400" s="370"/>
      <c r="D400" s="371"/>
      <c r="E400" s="372"/>
      <c r="F400" s="373"/>
    </row>
    <row r="401" spans="1:6" ht="12.75" customHeight="1">
      <c r="A401" s="340"/>
      <c r="B401" s="345" t="s">
        <v>475</v>
      </c>
      <c r="C401" s="341" t="s">
        <v>37</v>
      </c>
      <c r="D401" s="342">
        <v>1</v>
      </c>
      <c r="E401" s="372">
        <f>E380</f>
        <v>988811.5</v>
      </c>
      <c r="F401" s="354">
        <f>D401*E401</f>
        <v>988811.5</v>
      </c>
    </row>
    <row r="402" spans="1:6" ht="12.75" customHeight="1">
      <c r="A402" s="340"/>
      <c r="B402" s="345" t="s">
        <v>446</v>
      </c>
      <c r="C402" s="352" t="s">
        <v>289</v>
      </c>
      <c r="D402" s="370">
        <f>(1/0.016*2*0.395*1.1)+(1/0.016*0.55*5.5*0.395*1.1)</f>
        <v>136.46015625000001</v>
      </c>
      <c r="E402" s="372">
        <f>E381</f>
        <v>12038.738738738737</v>
      </c>
      <c r="F402" s="354">
        <f>D402*E402</f>
        <v>1642808.1693412161</v>
      </c>
    </row>
    <row r="403" spans="1:6" ht="12.75" customHeight="1" thickBot="1">
      <c r="A403" s="340"/>
      <c r="B403" s="345" t="s">
        <v>447</v>
      </c>
      <c r="C403" s="362" t="s">
        <v>40</v>
      </c>
      <c r="D403" s="342">
        <f>1/0.016*0.5</f>
        <v>31.25</v>
      </c>
      <c r="E403" s="343">
        <f>E398</f>
        <v>113096.9696969697</v>
      </c>
      <c r="F403" s="355">
        <f>D403*E403</f>
        <v>3534280.3030303032</v>
      </c>
    </row>
    <row r="404" spans="1:6" ht="12.75" customHeight="1">
      <c r="A404" s="340"/>
      <c r="B404" s="358" t="s">
        <v>448</v>
      </c>
      <c r="C404" s="363"/>
      <c r="D404" s="371"/>
      <c r="E404" s="372"/>
      <c r="F404" s="350">
        <f>SUM(F401:F403)</f>
        <v>6165899.9723715186</v>
      </c>
    </row>
    <row r="405" spans="1:6" ht="12.75" customHeight="1">
      <c r="A405" s="491">
        <v>66</v>
      </c>
      <c r="B405" s="497" t="s">
        <v>623</v>
      </c>
      <c r="C405" s="498" t="s">
        <v>37</v>
      </c>
      <c r="D405" s="499"/>
      <c r="E405" s="500"/>
      <c r="F405" s="364"/>
    </row>
    <row r="406" spans="1:6" ht="12.75" customHeight="1">
      <c r="A406" s="491"/>
      <c r="B406" s="501" t="s">
        <v>475</v>
      </c>
      <c r="C406" s="498" t="s">
        <v>37</v>
      </c>
      <c r="D406" s="502">
        <v>1</v>
      </c>
      <c r="E406" s="500">
        <f>E396</f>
        <v>960450</v>
      </c>
      <c r="F406" s="354">
        <f t="shared" ref="F406:F409" si="43">D406*E406</f>
        <v>960450</v>
      </c>
    </row>
    <row r="407" spans="1:6" ht="12.75" customHeight="1">
      <c r="A407" s="491"/>
      <c r="B407" s="501" t="s">
        <v>621</v>
      </c>
      <c r="C407" s="503" t="s">
        <v>622</v>
      </c>
      <c r="D407" s="502">
        <f>1/0.07*1.1</f>
        <v>15.714285714285715</v>
      </c>
      <c r="E407" s="500">
        <f>3765000*1.1/(2.1*54)+15000</f>
        <v>51521.164021164026</v>
      </c>
      <c r="F407" s="354">
        <f t="shared" si="43"/>
        <v>809618.29176114907</v>
      </c>
    </row>
    <row r="408" spans="1:6" ht="12.75" customHeight="1">
      <c r="A408" s="491"/>
      <c r="B408" s="507" t="s">
        <v>624</v>
      </c>
      <c r="C408" s="503" t="s">
        <v>622</v>
      </c>
      <c r="D408" s="502">
        <f>1/0.07*1.1</f>
        <v>15.714285714285715</v>
      </c>
      <c r="E408" s="500">
        <f>Analisa!F122+Analisa!F131</f>
        <v>71271.199999999997</v>
      </c>
      <c r="F408" s="354">
        <f t="shared" si="43"/>
        <v>1119976</v>
      </c>
    </row>
    <row r="409" spans="1:6" ht="12.75" customHeight="1">
      <c r="A409" s="491"/>
      <c r="B409" s="507" t="s">
        <v>625</v>
      </c>
      <c r="C409" s="503" t="s">
        <v>622</v>
      </c>
      <c r="D409" s="502">
        <f>1/0.07*1.1</f>
        <v>15.714285714285715</v>
      </c>
      <c r="E409" s="500">
        <f>Analisa!F173</f>
        <v>47055.803571428565</v>
      </c>
      <c r="F409" s="354">
        <f t="shared" si="43"/>
        <v>739448.34183673467</v>
      </c>
    </row>
    <row r="410" spans="1:6" ht="12.75" customHeight="1">
      <c r="A410" s="491"/>
      <c r="B410" s="504" t="s">
        <v>448</v>
      </c>
      <c r="C410" s="505"/>
      <c r="D410" s="499"/>
      <c r="E410" s="500"/>
      <c r="F410" s="364">
        <f>SUM(F406:F409)</f>
        <v>3629492.6335978839</v>
      </c>
    </row>
    <row r="411" spans="1:6" ht="12.75" customHeight="1">
      <c r="A411" s="491"/>
      <c r="B411" s="492"/>
      <c r="C411" s="493"/>
      <c r="D411" s="494"/>
      <c r="E411" s="495"/>
      <c r="F411" s="496"/>
    </row>
    <row r="412" spans="1:6" ht="12.75" customHeight="1">
      <c r="A412" s="491"/>
      <c r="B412" s="492"/>
      <c r="C412" s="493"/>
      <c r="D412" s="494"/>
      <c r="E412" s="495"/>
      <c r="F412" s="496"/>
    </row>
    <row r="413" spans="1:6" ht="12.75" customHeight="1">
      <c r="A413" s="491"/>
      <c r="B413" s="492"/>
      <c r="C413" s="493"/>
      <c r="D413" s="494"/>
      <c r="E413" s="495"/>
      <c r="F413" s="496"/>
    </row>
    <row r="414" spans="1:6" ht="12.75" customHeight="1">
      <c r="A414" s="491"/>
      <c r="B414" s="492"/>
      <c r="C414" s="493"/>
      <c r="D414" s="494"/>
      <c r="E414" s="495"/>
      <c r="F414" s="496"/>
    </row>
    <row r="415" spans="1:6" ht="12.75" customHeight="1">
      <c r="A415" s="491"/>
      <c r="B415" s="492"/>
      <c r="C415" s="493"/>
      <c r="D415" s="494"/>
      <c r="E415" s="495"/>
      <c r="F415" s="496"/>
    </row>
    <row r="416" spans="1:6" ht="12.75" customHeight="1" thickBot="1">
      <c r="A416" s="374"/>
      <c r="B416" s="375"/>
      <c r="C416" s="376"/>
      <c r="D416" s="377"/>
      <c r="E416" s="378"/>
      <c r="F416" s="379"/>
    </row>
    <row r="417" spans="1:7" ht="12.75" customHeight="1">
      <c r="A417" s="380"/>
      <c r="B417" s="381"/>
      <c r="C417" s="382"/>
      <c r="D417" s="383"/>
      <c r="E417" s="384"/>
      <c r="F417" s="385"/>
    </row>
    <row r="418" spans="1:7" ht="12.75" customHeight="1">
      <c r="A418" s="380"/>
      <c r="B418" s="381"/>
      <c r="C418" s="382"/>
      <c r="D418" s="383"/>
      <c r="E418" s="384"/>
      <c r="F418" s="385"/>
    </row>
    <row r="419" spans="1:7" ht="12.75" customHeight="1">
      <c r="A419" s="380"/>
      <c r="B419" s="381"/>
      <c r="C419" s="382"/>
      <c r="D419" s="383"/>
      <c r="E419" s="384"/>
      <c r="F419" s="385"/>
    </row>
    <row r="420" spans="1:7" ht="12.75" customHeight="1">
      <c r="A420" s="380"/>
      <c r="B420" s="381"/>
      <c r="C420" s="382"/>
      <c r="D420" s="383"/>
      <c r="E420" s="306" t="s">
        <v>581</v>
      </c>
      <c r="F420" s="306"/>
      <c r="G420" s="386"/>
    </row>
    <row r="421" spans="1:7" ht="12.75" customHeight="1">
      <c r="A421" s="380"/>
      <c r="B421" s="381"/>
      <c r="C421" s="382"/>
      <c r="D421" s="383"/>
      <c r="E421" s="308" t="s">
        <v>437</v>
      </c>
      <c r="F421" s="308"/>
      <c r="G421" s="335"/>
    </row>
    <row r="422" spans="1:7" ht="23.25" customHeight="1">
      <c r="A422" s="380"/>
      <c r="B422" s="381"/>
      <c r="C422" s="382"/>
      <c r="D422" s="383"/>
      <c r="E422" s="310"/>
      <c r="F422" s="310"/>
      <c r="G422" s="305"/>
    </row>
    <row r="423" spans="1:7" ht="12.75" customHeight="1">
      <c r="A423" s="380"/>
      <c r="B423" s="381"/>
      <c r="C423" s="382"/>
      <c r="D423" s="383"/>
      <c r="E423" s="310"/>
      <c r="F423" s="310"/>
      <c r="G423" s="305"/>
    </row>
    <row r="424" spans="1:7" ht="12.75" customHeight="1">
      <c r="A424" s="380"/>
      <c r="B424" s="381"/>
      <c r="C424" s="382"/>
      <c r="D424" s="383"/>
      <c r="E424" s="310"/>
      <c r="F424" s="310"/>
      <c r="G424" s="305"/>
    </row>
    <row r="425" spans="1:7" ht="12.75" customHeight="1">
      <c r="A425" s="380"/>
      <c r="B425" s="380"/>
      <c r="C425" s="380"/>
      <c r="D425" s="380"/>
      <c r="E425" s="306"/>
      <c r="F425" s="306"/>
      <c r="G425" s="305"/>
    </row>
    <row r="426" spans="1:7" ht="12.75" customHeight="1">
      <c r="A426" s="380"/>
      <c r="B426" s="380"/>
      <c r="C426" s="380"/>
      <c r="D426" s="380"/>
      <c r="E426" s="306"/>
      <c r="F426" s="306"/>
      <c r="G426" s="305"/>
    </row>
    <row r="427" spans="1:7" ht="12.75" customHeight="1">
      <c r="A427" s="380"/>
      <c r="B427" s="380"/>
      <c r="C427" s="380"/>
      <c r="D427" s="380"/>
      <c r="E427" s="306" t="s">
        <v>438</v>
      </c>
      <c r="F427" s="387"/>
      <c r="G427" s="226"/>
    </row>
    <row r="428" spans="1:7">
      <c r="F428" s="388"/>
    </row>
    <row r="431" spans="1:7">
      <c r="F431" s="389"/>
    </row>
    <row r="432" spans="1:7">
      <c r="E432" s="389"/>
    </row>
  </sheetData>
  <mergeCells count="5">
    <mergeCell ref="E5:F5"/>
    <mergeCell ref="A6:A7"/>
    <mergeCell ref="B6:B7"/>
    <mergeCell ref="C6:C7"/>
    <mergeCell ref="D6:D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topLeftCell="A4" workbookViewId="0">
      <selection activeCell="F11" sqref="F11"/>
    </sheetView>
  </sheetViews>
  <sheetFormatPr defaultColWidth="9.21875" defaultRowHeight="14.4"/>
  <cols>
    <col min="1" max="1" width="6.5546875" style="294" customWidth="1"/>
    <col min="2" max="2" width="1.6640625" style="294" customWidth="1"/>
    <col min="3" max="3" width="56.33203125" style="294" customWidth="1"/>
    <col min="4" max="4" width="8.6640625" style="294" customWidth="1"/>
    <col min="5" max="5" width="9.88671875" style="294" customWidth="1"/>
    <col min="6" max="6" width="17.6640625" style="294" customWidth="1"/>
    <col min="7" max="7" width="20" style="294" customWidth="1"/>
    <col min="8" max="8" width="9.21875" style="294"/>
    <col min="9" max="9" width="12.77734375" style="294" bestFit="1" customWidth="1"/>
    <col min="10" max="16384" width="9.21875" style="294"/>
  </cols>
  <sheetData>
    <row r="1" spans="1:10" ht="18">
      <c r="A1" s="390"/>
      <c r="B1" s="391"/>
      <c r="C1" s="392"/>
    </row>
    <row r="2" spans="1:10" ht="18" customHeight="1">
      <c r="A2" s="553" t="s">
        <v>504</v>
      </c>
      <c r="B2" s="553"/>
      <c r="C2" s="553"/>
    </row>
    <row r="3" spans="1:10">
      <c r="A3" s="223" t="s">
        <v>341</v>
      </c>
      <c r="B3" s="393"/>
      <c r="C3" s="393"/>
    </row>
    <row r="4" spans="1:10" ht="15" thickBot="1">
      <c r="A4" s="554" t="s">
        <v>441</v>
      </c>
      <c r="B4" s="554"/>
      <c r="C4" s="554"/>
    </row>
    <row r="5" spans="1:10" ht="36.75" customHeight="1" thickTop="1" thickBot="1">
      <c r="A5" s="394" t="s">
        <v>505</v>
      </c>
      <c r="B5" s="395"/>
      <c r="C5" s="396" t="s">
        <v>506</v>
      </c>
      <c r="D5" s="397" t="s">
        <v>21</v>
      </c>
      <c r="E5" s="397" t="s">
        <v>507</v>
      </c>
      <c r="F5" s="397" t="s">
        <v>508</v>
      </c>
      <c r="G5" s="398" t="s">
        <v>355</v>
      </c>
    </row>
    <row r="6" spans="1:10" ht="15" thickTop="1">
      <c r="A6" s="399"/>
      <c r="B6" s="400"/>
      <c r="C6" s="401"/>
      <c r="D6" s="402"/>
      <c r="E6" s="402"/>
      <c r="F6" s="402"/>
      <c r="G6" s="403"/>
    </row>
    <row r="7" spans="1:10" ht="15">
      <c r="A7" s="404">
        <v>1</v>
      </c>
      <c r="B7" s="405"/>
      <c r="C7" s="406" t="s">
        <v>579</v>
      </c>
      <c r="D7" s="407"/>
      <c r="E7" s="408"/>
      <c r="F7" s="409"/>
      <c r="G7" s="410"/>
      <c r="I7" s="475"/>
      <c r="J7" s="139"/>
    </row>
    <row r="8" spans="1:10" ht="15">
      <c r="A8" s="404"/>
      <c r="B8" s="411"/>
      <c r="C8" s="412" t="s">
        <v>583</v>
      </c>
      <c r="D8" s="413" t="s">
        <v>21</v>
      </c>
      <c r="E8" s="408">
        <v>1</v>
      </c>
      <c r="F8" s="479">
        <f>948000+(2261000/1.11)</f>
        <v>2984936.9369369368</v>
      </c>
      <c r="G8" s="414">
        <f>E8*F8</f>
        <v>2984936.9369369368</v>
      </c>
    </row>
    <row r="9" spans="1:10" ht="15">
      <c r="A9" s="404"/>
      <c r="B9" s="405"/>
      <c r="C9" s="415" t="s">
        <v>586</v>
      </c>
      <c r="D9" s="413" t="s">
        <v>509</v>
      </c>
      <c r="E9" s="408">
        <v>1</v>
      </c>
      <c r="F9" s="480">
        <f>197300+70000</f>
        <v>267300</v>
      </c>
      <c r="G9" s="414">
        <f t="shared" ref="G9:G13" si="0">E9*F9</f>
        <v>267300</v>
      </c>
    </row>
    <row r="10" spans="1:10" ht="15">
      <c r="A10" s="404"/>
      <c r="B10" s="405"/>
      <c r="C10" s="415" t="s">
        <v>584</v>
      </c>
      <c r="D10" s="413" t="s">
        <v>513</v>
      </c>
      <c r="E10" s="408">
        <v>1</v>
      </c>
      <c r="F10" s="480">
        <f>171486+119144+30000</f>
        <v>320630</v>
      </c>
      <c r="G10" s="414">
        <f t="shared" si="0"/>
        <v>320630</v>
      </c>
    </row>
    <row r="11" spans="1:10" ht="15">
      <c r="A11" s="404"/>
      <c r="B11" s="405"/>
      <c r="C11" s="415" t="s">
        <v>585</v>
      </c>
      <c r="D11" s="413" t="s">
        <v>509</v>
      </c>
      <c r="E11" s="408">
        <v>1.5</v>
      </c>
      <c r="F11" s="480">
        <f>80800+70000</f>
        <v>150800</v>
      </c>
      <c r="G11" s="414">
        <f t="shared" si="0"/>
        <v>226200</v>
      </c>
    </row>
    <row r="12" spans="1:10" ht="15">
      <c r="A12" s="404"/>
      <c r="B12" s="405"/>
      <c r="C12" s="415" t="s">
        <v>587</v>
      </c>
      <c r="D12" s="413" t="s">
        <v>35</v>
      </c>
      <c r="E12" s="408">
        <v>1</v>
      </c>
      <c r="F12" s="480">
        <f>43500+10000</f>
        <v>53500</v>
      </c>
      <c r="G12" s="414">
        <f t="shared" si="0"/>
        <v>53500</v>
      </c>
    </row>
    <row r="13" spans="1:10" ht="15.6" thickBot="1">
      <c r="A13" s="404"/>
      <c r="B13" s="405"/>
      <c r="C13" s="417" t="s">
        <v>510</v>
      </c>
      <c r="D13" s="413" t="s">
        <v>35</v>
      </c>
      <c r="E13" s="408">
        <v>1</v>
      </c>
      <c r="F13" s="481">
        <v>650000</v>
      </c>
      <c r="G13" s="418">
        <f t="shared" si="0"/>
        <v>650000</v>
      </c>
    </row>
    <row r="14" spans="1:10" ht="15.6" thickTop="1">
      <c r="A14" s="419"/>
      <c r="B14" s="420"/>
      <c r="C14" s="421" t="s">
        <v>511</v>
      </c>
      <c r="D14" s="422"/>
      <c r="E14" s="423"/>
      <c r="F14" s="482"/>
      <c r="G14" s="424">
        <f>SUM(G8:G13)</f>
        <v>4502566.9369369373</v>
      </c>
    </row>
    <row r="15" spans="1:10" ht="15">
      <c r="A15" s="425"/>
      <c r="B15" s="426"/>
      <c r="C15" s="427"/>
      <c r="D15" s="428"/>
      <c r="E15" s="429"/>
      <c r="F15" s="483"/>
      <c r="G15" s="431"/>
    </row>
    <row r="16" spans="1:10" ht="15">
      <c r="A16" s="425">
        <v>2</v>
      </c>
      <c r="B16" s="426"/>
      <c r="C16" s="406" t="s">
        <v>580</v>
      </c>
      <c r="D16" s="407"/>
      <c r="E16" s="408"/>
      <c r="F16" s="483"/>
      <c r="G16" s="432"/>
    </row>
    <row r="17" spans="1:7" ht="15">
      <c r="A17" s="425"/>
      <c r="B17" s="426"/>
      <c r="C17" s="433" t="s">
        <v>512</v>
      </c>
      <c r="D17" s="413" t="s">
        <v>21</v>
      </c>
      <c r="E17" s="408">
        <v>1</v>
      </c>
      <c r="F17" s="479">
        <f>965250+(2387000/1.11)</f>
        <v>3115700.4504504502</v>
      </c>
      <c r="G17" s="434">
        <f t="shared" ref="G17" si="1">E17*F17</f>
        <v>3115700.4504504502</v>
      </c>
    </row>
    <row r="18" spans="1:7" ht="15">
      <c r="A18" s="425"/>
      <c r="B18" s="426"/>
      <c r="C18" s="412" t="s">
        <v>582</v>
      </c>
      <c r="D18" s="413"/>
      <c r="E18" s="408"/>
      <c r="F18" s="435"/>
      <c r="G18" s="434"/>
    </row>
    <row r="19" spans="1:7" ht="15">
      <c r="A19" s="404"/>
      <c r="B19" s="405"/>
      <c r="C19" s="415" t="s">
        <v>586</v>
      </c>
      <c r="D19" s="413" t="s">
        <v>509</v>
      </c>
      <c r="E19" s="408">
        <v>1</v>
      </c>
      <c r="F19" s="416">
        <f>F9</f>
        <v>267300</v>
      </c>
      <c r="G19" s="414">
        <f t="shared" ref="G19:G23" si="2">E19*F19</f>
        <v>267300</v>
      </c>
    </row>
    <row r="20" spans="1:7" ht="15">
      <c r="A20" s="404"/>
      <c r="B20" s="405"/>
      <c r="C20" s="415" t="s">
        <v>584</v>
      </c>
      <c r="D20" s="413" t="s">
        <v>513</v>
      </c>
      <c r="E20" s="408">
        <v>1</v>
      </c>
      <c r="F20" s="416">
        <f t="shared" ref="F20:F23" si="3">F10</f>
        <v>320630</v>
      </c>
      <c r="G20" s="414">
        <f t="shared" si="2"/>
        <v>320630</v>
      </c>
    </row>
    <row r="21" spans="1:7" ht="15">
      <c r="A21" s="404"/>
      <c r="B21" s="405"/>
      <c r="C21" s="415" t="s">
        <v>585</v>
      </c>
      <c r="D21" s="413" t="s">
        <v>509</v>
      </c>
      <c r="E21" s="408">
        <v>1.5</v>
      </c>
      <c r="F21" s="416">
        <f t="shared" si="3"/>
        <v>150800</v>
      </c>
      <c r="G21" s="414">
        <f t="shared" si="2"/>
        <v>226200</v>
      </c>
    </row>
    <row r="22" spans="1:7" ht="15">
      <c r="A22" s="404"/>
      <c r="B22" s="405"/>
      <c r="C22" s="415" t="s">
        <v>587</v>
      </c>
      <c r="D22" s="413" t="s">
        <v>35</v>
      </c>
      <c r="E22" s="408">
        <v>1</v>
      </c>
      <c r="F22" s="416">
        <f t="shared" si="3"/>
        <v>53500</v>
      </c>
      <c r="G22" s="414">
        <f t="shared" si="2"/>
        <v>53500</v>
      </c>
    </row>
    <row r="23" spans="1:7" ht="15.6" thickBot="1">
      <c r="A23" s="404"/>
      <c r="B23" s="405"/>
      <c r="C23" s="417" t="s">
        <v>510</v>
      </c>
      <c r="D23" s="413" t="s">
        <v>35</v>
      </c>
      <c r="E23" s="408">
        <v>1</v>
      </c>
      <c r="F23" s="416">
        <f t="shared" si="3"/>
        <v>650000</v>
      </c>
      <c r="G23" s="418">
        <f t="shared" si="2"/>
        <v>650000</v>
      </c>
    </row>
    <row r="24" spans="1:7" ht="15.6" thickTop="1">
      <c r="A24" s="438"/>
      <c r="B24" s="439"/>
      <c r="C24" s="421" t="s">
        <v>511</v>
      </c>
      <c r="D24" s="422"/>
      <c r="E24" s="423"/>
      <c r="F24" s="440"/>
      <c r="G24" s="424">
        <f>SUM(G17:G23)</f>
        <v>4633330.4504504502</v>
      </c>
    </row>
    <row r="25" spans="1:7" ht="15">
      <c r="A25" s="438"/>
      <c r="B25" s="439"/>
      <c r="C25" s="441"/>
      <c r="D25" s="442"/>
      <c r="E25" s="443"/>
      <c r="F25" s="444"/>
      <c r="G25" s="445"/>
    </row>
    <row r="26" spans="1:7" ht="15">
      <c r="A26" s="436"/>
      <c r="B26" s="437"/>
      <c r="C26" s="446"/>
      <c r="D26" s="447"/>
      <c r="E26" s="448"/>
      <c r="F26" s="440"/>
      <c r="G26" s="424"/>
    </row>
    <row r="27" spans="1:7" ht="15">
      <c r="A27" s="425"/>
      <c r="B27" s="426"/>
      <c r="C27" s="427"/>
      <c r="D27" s="428"/>
      <c r="E27" s="429"/>
      <c r="F27" s="430"/>
      <c r="G27" s="431"/>
    </row>
    <row r="31" spans="1:7" ht="15.6">
      <c r="F31" s="306" t="s">
        <v>581</v>
      </c>
      <c r="G31" s="306"/>
    </row>
    <row r="32" spans="1:7" ht="15.6">
      <c r="F32" s="308" t="s">
        <v>437</v>
      </c>
      <c r="G32" s="308"/>
    </row>
    <row r="33" spans="6:7" ht="15.6">
      <c r="F33" s="310"/>
      <c r="G33" s="310"/>
    </row>
    <row r="34" spans="6:7" ht="15.6">
      <c r="F34" s="310"/>
      <c r="G34" s="310"/>
    </row>
    <row r="35" spans="6:7" ht="15.6">
      <c r="F35" s="310"/>
      <c r="G35" s="310"/>
    </row>
    <row r="36" spans="6:7" ht="15.6">
      <c r="F36" s="306"/>
      <c r="G36" s="306"/>
    </row>
    <row r="37" spans="6:7" ht="15.6">
      <c r="F37" s="306"/>
      <c r="G37" s="306"/>
    </row>
    <row r="38" spans="6:7" ht="15.6">
      <c r="F38" s="387" t="s">
        <v>438</v>
      </c>
      <c r="G38" s="387"/>
    </row>
  </sheetData>
  <mergeCells count="2">
    <mergeCell ref="A2:C2"/>
    <mergeCell ref="A4:C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110"/>
  <sheetViews>
    <sheetView topLeftCell="B118" workbookViewId="0">
      <selection activeCell="K10" sqref="K10"/>
    </sheetView>
  </sheetViews>
  <sheetFormatPr defaultRowHeight="13.2"/>
  <sheetData>
    <row r="2" spans="1:1">
      <c r="A2" s="215" t="s">
        <v>334</v>
      </c>
    </row>
    <row r="23" spans="1:1">
      <c r="A23" s="215" t="s">
        <v>335</v>
      </c>
    </row>
    <row r="45" spans="1:1">
      <c r="A45" s="215" t="s">
        <v>336</v>
      </c>
    </row>
    <row r="52" spans="1:1">
      <c r="A52" s="215" t="s">
        <v>337</v>
      </c>
    </row>
    <row r="76" spans="1:1" ht="17.25" customHeight="1"/>
    <row r="79" spans="1:1">
      <c r="A79" s="215" t="s">
        <v>338</v>
      </c>
    </row>
    <row r="90" spans="15:15">
      <c r="O90" t="s">
        <v>553</v>
      </c>
    </row>
    <row r="110" spans="1:1">
      <c r="A110" s="215" t="s">
        <v>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REKAP</vt:lpstr>
      <vt:lpstr>RAB</vt:lpstr>
      <vt:lpstr>REKAP  POOL</vt:lpstr>
      <vt:lpstr>RAB POOL</vt:lpstr>
      <vt:lpstr>Analisa</vt:lpstr>
      <vt:lpstr>AN BETON</vt:lpstr>
      <vt:lpstr>AN KUSEN</vt:lpstr>
      <vt:lpstr>MOU</vt:lpstr>
      <vt:lpstr>RAB!Print_Area</vt:lpstr>
      <vt:lpstr>'RAB POOL'!Print_Area</vt:lpstr>
      <vt:lpstr>REKAP!Print_Area</vt:lpstr>
      <vt:lpstr>'REKAP  POOL'!Print_Area</vt:lpstr>
      <vt:lpstr>RAB!Print_Titles</vt:lpstr>
      <vt:lpstr>'RAB POOL'!Print_Titles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cp.ishak</dc:creator>
  <cp:lastModifiedBy>Andrew Tirtawardhana</cp:lastModifiedBy>
  <cp:lastPrinted>2021-05-10T19:50:09Z</cp:lastPrinted>
  <dcterms:created xsi:type="dcterms:W3CDTF">2021-05-03T04:26:45Z</dcterms:created>
  <dcterms:modified xsi:type="dcterms:W3CDTF">2025-01-02T03:51:28Z</dcterms:modified>
</cp:coreProperties>
</file>